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9320" windowHeight="10485" tabRatio="809"/>
  </bookViews>
  <sheets>
    <sheet name="Select a Circuit" sheetId="33" r:id="rId1"/>
    <sheet name="Circuit Data" sheetId="1" state="hidden" r:id="rId2"/>
    <sheet name="Circuit Data2" sheetId="2" state="hidden" r:id="rId3"/>
    <sheet name="NATIONAL TOTALS" sheetId="6" r:id="rId4"/>
    <sheet name="DISTRICT OF COLUMBIA" sheetId="32" r:id="rId5"/>
    <sheet name="FIRST CIRCUIT" sheetId="21" r:id="rId6"/>
    <sheet name="SECOND CIRCUIT" sheetId="22" r:id="rId7"/>
    <sheet name="THIRD CIRCUIT" sheetId="23" r:id="rId8"/>
    <sheet name="FOURTH CIRCUIT" sheetId="24" r:id="rId9"/>
    <sheet name="FIFTH CIRCUIT" sheetId="25" r:id="rId10"/>
    <sheet name="SIXTH CIRCUIT" sheetId="26" r:id="rId11"/>
    <sheet name="SEVENTH CIRCUIT" sheetId="27" r:id="rId12"/>
    <sheet name="EIGHTH CIRCUIT" sheetId="28" r:id="rId13"/>
    <sheet name="NINTH CIRCUIT" sheetId="29" r:id="rId14"/>
    <sheet name="TENTH CIRCUIT" sheetId="30" r:id="rId15"/>
    <sheet name="ELEVENTH CIRCUIT" sheetId="31" r:id="rId16"/>
  </sheets>
  <definedNames>
    <definedName name="Appeals_FCMS_Page_1" localSheetId="1">'Circuit Data'!$A$1:$EE$13</definedName>
    <definedName name="Appeals_FCMS_Page_2" localSheetId="2">'Circuit Data2'!$A$1:$EQ$14</definedName>
    <definedName name="Appeals_Page_1_June_2011" localSheetId="1">'Circuit Data'!$A$1:$ED$13</definedName>
    <definedName name="Appeals_Page_2_June_2011_1" localSheetId="2">'Circuit Data2'!$A$2:$EQ$14</definedName>
    <definedName name="BTS.MARPG1revised" localSheetId="1">'Circuit Data'!$A$1:$ED$13</definedName>
    <definedName name="BTS.MARPG2revised" localSheetId="2">'Circuit Data2'!$A$1:$ER$13</definedName>
    <definedName name="_xlnm.Print_Area" localSheetId="4">'DISTRICT OF COLUMBIA'!$A$1:$M$56</definedName>
    <definedName name="_xlnm.Print_Area" localSheetId="12">'EIGHTH CIRCUIT'!$A$1:$M$56</definedName>
    <definedName name="_xlnm.Print_Area" localSheetId="15">'ELEVENTH CIRCUIT'!$A$1:$M$56</definedName>
    <definedName name="_xlnm.Print_Area" localSheetId="9">'FIFTH CIRCUIT'!$A$1:$M$56</definedName>
    <definedName name="_xlnm.Print_Area" localSheetId="5">'FIRST CIRCUIT'!$A$1:$M$56</definedName>
    <definedName name="_xlnm.Print_Area" localSheetId="8">'FOURTH CIRCUIT'!$A$1:$M$56</definedName>
    <definedName name="_xlnm.Print_Area" localSheetId="3">'NATIONAL TOTALS'!$A$1:$L$56</definedName>
    <definedName name="_xlnm.Print_Area" localSheetId="13">'NINTH CIRCUIT'!$A$1:$M$56</definedName>
    <definedName name="_xlnm.Print_Area" localSheetId="6">'SECOND CIRCUIT'!$A$1:$M$56</definedName>
    <definedName name="_xlnm.Print_Area" localSheetId="11">'SEVENTH CIRCUIT'!$A$1:$M$56</definedName>
    <definedName name="_xlnm.Print_Area" localSheetId="10">'SIXTH CIRCUIT'!$A$1:$M$56</definedName>
    <definedName name="_xlnm.Print_Area" localSheetId="14">'TENTH CIRCUIT'!$A$1:$M$56</definedName>
    <definedName name="_xlnm.Print_Area" localSheetId="7">'THIRD CIRCUIT'!$A$1:$M$56</definedName>
  </definedNames>
  <calcPr calcId="145621"/>
</workbook>
</file>

<file path=xl/calcChain.xml><?xml version="1.0" encoding="utf-8"?>
<calcChain xmlns="http://schemas.openxmlformats.org/spreadsheetml/2006/main">
  <c r="L34" i="32" l="1"/>
  <c r="L34" i="21"/>
  <c r="L34" i="22"/>
  <c r="L34" i="23"/>
  <c r="L34" i="24"/>
  <c r="L34" i="25"/>
  <c r="L34" i="26"/>
  <c r="L34" i="27"/>
  <c r="L34" i="28"/>
  <c r="L34" i="29"/>
  <c r="L34" i="30"/>
  <c r="L34" i="31"/>
  <c r="L34" i="6"/>
  <c r="K34" i="32"/>
  <c r="K34" i="21"/>
  <c r="K34" i="22"/>
  <c r="K34" i="23"/>
  <c r="K34" i="24"/>
  <c r="K34" i="25"/>
  <c r="K34" i="26"/>
  <c r="K34" i="27"/>
  <c r="K34" i="28"/>
  <c r="K34" i="29"/>
  <c r="K34" i="30"/>
  <c r="K34" i="31"/>
  <c r="K34" i="6"/>
  <c r="J34" i="32"/>
  <c r="J34" i="21"/>
  <c r="J34" i="22"/>
  <c r="J34" i="23"/>
  <c r="J34" i="24"/>
  <c r="J34" i="25"/>
  <c r="J34" i="26"/>
  <c r="J34" i="27"/>
  <c r="J34" i="28"/>
  <c r="J34" i="29"/>
  <c r="J34" i="30"/>
  <c r="J34" i="31"/>
  <c r="J34" i="6"/>
  <c r="I34" i="32"/>
  <c r="I34" i="21"/>
  <c r="I34" i="22"/>
  <c r="I34" i="23"/>
  <c r="I34" i="24"/>
  <c r="I34" i="25"/>
  <c r="I34" i="26"/>
  <c r="I34" i="27"/>
  <c r="I34" i="28"/>
  <c r="I34" i="29"/>
  <c r="I34" i="30"/>
  <c r="I34" i="31"/>
  <c r="I34" i="6"/>
  <c r="H34" i="32"/>
  <c r="H34" i="21"/>
  <c r="H34" i="22"/>
  <c r="H34" i="23"/>
  <c r="H34" i="24"/>
  <c r="H34" i="25"/>
  <c r="H34" i="26"/>
  <c r="H34" i="27"/>
  <c r="H34" i="28"/>
  <c r="H34" i="29"/>
  <c r="H34" i="30"/>
  <c r="H34" i="31"/>
  <c r="H34" i="6"/>
  <c r="G34" i="32"/>
  <c r="G34" i="21"/>
  <c r="G34" i="22"/>
  <c r="G34" i="23"/>
  <c r="G34" i="24"/>
  <c r="G34" i="25"/>
  <c r="G34" i="26"/>
  <c r="G34" i="27"/>
  <c r="G34" i="28"/>
  <c r="G34" i="29"/>
  <c r="G34" i="30"/>
  <c r="G34" i="31"/>
  <c r="G34" i="6"/>
  <c r="M53" i="32"/>
  <c r="L53" i="32"/>
  <c r="K53" i="32"/>
  <c r="J53" i="32"/>
  <c r="I53" i="32"/>
  <c r="H53" i="32"/>
  <c r="G53" i="32"/>
  <c r="M52" i="32"/>
  <c r="L52" i="32"/>
  <c r="K52" i="32"/>
  <c r="J52" i="32"/>
  <c r="I52" i="32"/>
  <c r="H52" i="32"/>
  <c r="G52" i="32"/>
  <c r="M51" i="32"/>
  <c r="L51" i="32"/>
  <c r="K51" i="32"/>
  <c r="J51" i="32"/>
  <c r="I51" i="32"/>
  <c r="H51" i="32"/>
  <c r="G51" i="32"/>
  <c r="M50" i="32"/>
  <c r="L50" i="32"/>
  <c r="K50" i="32"/>
  <c r="J50" i="32"/>
  <c r="I50" i="32"/>
  <c r="H50" i="32"/>
  <c r="G50" i="32"/>
  <c r="M49" i="32"/>
  <c r="L49" i="32"/>
  <c r="K49" i="32"/>
  <c r="J49" i="32"/>
  <c r="I49" i="32"/>
  <c r="H49" i="32"/>
  <c r="G49" i="32"/>
  <c r="M48" i="32"/>
  <c r="L48" i="32"/>
  <c r="K48" i="32"/>
  <c r="J48" i="32"/>
  <c r="I48" i="32"/>
  <c r="H48" i="32"/>
  <c r="G48" i="32"/>
  <c r="M47" i="32"/>
  <c r="L47" i="32"/>
  <c r="K47" i="32"/>
  <c r="J47" i="32"/>
  <c r="I47" i="32"/>
  <c r="H47" i="32"/>
  <c r="G47" i="32"/>
  <c r="M46" i="32"/>
  <c r="L46" i="32"/>
  <c r="K46" i="32"/>
  <c r="J46" i="32"/>
  <c r="I46" i="32"/>
  <c r="H46" i="32"/>
  <c r="G46" i="32"/>
  <c r="M45" i="32"/>
  <c r="L45" i="32"/>
  <c r="K45" i="32"/>
  <c r="J45" i="32"/>
  <c r="I45" i="32"/>
  <c r="H45" i="32"/>
  <c r="G45" i="32"/>
  <c r="M44" i="32"/>
  <c r="L44" i="32"/>
  <c r="K44" i="32"/>
  <c r="J44" i="32"/>
  <c r="I44" i="32"/>
  <c r="H44" i="32"/>
  <c r="G44" i="32"/>
  <c r="M43" i="32"/>
  <c r="L43" i="32"/>
  <c r="K43" i="32"/>
  <c r="J43" i="32"/>
  <c r="I43" i="32"/>
  <c r="H43" i="32"/>
  <c r="G43" i="32"/>
  <c r="M42" i="32"/>
  <c r="L42" i="32"/>
  <c r="K42" i="32"/>
  <c r="J42" i="32"/>
  <c r="I42" i="32"/>
  <c r="H42" i="32"/>
  <c r="G42" i="32"/>
  <c r="M41" i="32"/>
  <c r="L41" i="32"/>
  <c r="K41" i="32"/>
  <c r="J41" i="32"/>
  <c r="I41" i="32"/>
  <c r="H41" i="32"/>
  <c r="G41" i="32"/>
  <c r="M40" i="32"/>
  <c r="L40" i="32"/>
  <c r="K40" i="32"/>
  <c r="J40" i="32"/>
  <c r="I40" i="32"/>
  <c r="H40" i="32"/>
  <c r="G40" i="32"/>
  <c r="M39" i="32"/>
  <c r="L39" i="32"/>
  <c r="K39" i="32"/>
  <c r="J39" i="32"/>
  <c r="I39" i="32"/>
  <c r="H39" i="32"/>
  <c r="G39" i="32"/>
  <c r="M38" i="32"/>
  <c r="L38" i="32"/>
  <c r="K38" i="32"/>
  <c r="J38" i="32"/>
  <c r="I38" i="32"/>
  <c r="H38" i="32"/>
  <c r="G38" i="32"/>
  <c r="M37" i="32"/>
  <c r="L37" i="32"/>
  <c r="K37" i="32"/>
  <c r="J37" i="32"/>
  <c r="I37" i="32"/>
  <c r="H37" i="32"/>
  <c r="G37" i="32"/>
  <c r="L36" i="32"/>
  <c r="K36" i="32"/>
  <c r="J36" i="32"/>
  <c r="I36" i="32"/>
  <c r="H36" i="32"/>
  <c r="G36" i="32"/>
  <c r="L35" i="32"/>
  <c r="K35" i="32"/>
  <c r="J35" i="32"/>
  <c r="I35" i="32"/>
  <c r="H35" i="32"/>
  <c r="G35" i="32"/>
  <c r="A31" i="32"/>
  <c r="L27" i="32"/>
  <c r="K27" i="32"/>
  <c r="J27" i="32"/>
  <c r="I27" i="32"/>
  <c r="H27" i="32"/>
  <c r="G27" i="32"/>
  <c r="L26" i="32"/>
  <c r="K26" i="32"/>
  <c r="J26" i="32"/>
  <c r="I26" i="32"/>
  <c r="H26" i="32"/>
  <c r="G26" i="32"/>
  <c r="L25" i="32"/>
  <c r="K25" i="32"/>
  <c r="J25" i="32"/>
  <c r="I25" i="32"/>
  <c r="H25" i="32"/>
  <c r="G25" i="32"/>
  <c r="L24" i="32"/>
  <c r="K24" i="32"/>
  <c r="J24" i="32"/>
  <c r="I24" i="32"/>
  <c r="H24" i="32"/>
  <c r="G24" i="32"/>
  <c r="L23" i="32"/>
  <c r="K23" i="32"/>
  <c r="J23" i="32"/>
  <c r="I23" i="32"/>
  <c r="H23" i="32"/>
  <c r="G23" i="32"/>
  <c r="L22" i="32"/>
  <c r="K22" i="32"/>
  <c r="J22" i="32"/>
  <c r="I22" i="32"/>
  <c r="H22" i="32"/>
  <c r="G22" i="32"/>
  <c r="L21" i="32"/>
  <c r="K21" i="32"/>
  <c r="J21" i="32"/>
  <c r="I21" i="32"/>
  <c r="H21" i="32"/>
  <c r="G21" i="32"/>
  <c r="L20" i="32"/>
  <c r="K20" i="32"/>
  <c r="J20" i="32"/>
  <c r="I20" i="32"/>
  <c r="H20" i="32"/>
  <c r="G20" i="32"/>
  <c r="L19" i="32"/>
  <c r="K19" i="32"/>
  <c r="J19" i="32"/>
  <c r="I19" i="32"/>
  <c r="H19" i="32"/>
  <c r="G19" i="32"/>
  <c r="L18" i="32"/>
  <c r="K18" i="32"/>
  <c r="J18" i="32"/>
  <c r="I18" i="32"/>
  <c r="H18" i="32"/>
  <c r="G18" i="32"/>
  <c r="L17" i="32"/>
  <c r="K17" i="32"/>
  <c r="J17" i="32"/>
  <c r="I17" i="32"/>
  <c r="H17" i="32"/>
  <c r="G17" i="32"/>
  <c r="L16" i="32"/>
  <c r="K16" i="32"/>
  <c r="J16" i="32"/>
  <c r="I16" i="32"/>
  <c r="H16" i="32"/>
  <c r="G16" i="32"/>
  <c r="L15" i="32"/>
  <c r="K15" i="32"/>
  <c r="J15" i="32"/>
  <c r="I15" i="32"/>
  <c r="H15" i="32"/>
  <c r="G15" i="32"/>
  <c r="L14" i="32"/>
  <c r="K14" i="32"/>
  <c r="J14" i="32"/>
  <c r="I14" i="32"/>
  <c r="H14" i="32"/>
  <c r="G14" i="32"/>
  <c r="L13" i="32"/>
  <c r="K13" i="32"/>
  <c r="J13" i="32"/>
  <c r="I13" i="32"/>
  <c r="H13" i="32"/>
  <c r="G13" i="32"/>
  <c r="L12" i="32"/>
  <c r="K12" i="32"/>
  <c r="J12" i="32"/>
  <c r="I12" i="32"/>
  <c r="H12" i="32"/>
  <c r="G12" i="32"/>
  <c r="J11" i="32"/>
  <c r="I11" i="32"/>
  <c r="H11" i="32"/>
  <c r="G11" i="32"/>
  <c r="K10" i="32"/>
  <c r="L9" i="32"/>
  <c r="K9" i="32"/>
  <c r="J9" i="32"/>
  <c r="I9" i="32"/>
  <c r="H9" i="32"/>
  <c r="G9" i="32"/>
  <c r="L8" i="32"/>
  <c r="K8" i="32"/>
  <c r="J8" i="32"/>
  <c r="I8" i="32"/>
  <c r="H8" i="32"/>
  <c r="G8" i="32"/>
  <c r="L7" i="32"/>
  <c r="K7" i="32"/>
  <c r="J7" i="32"/>
  <c r="I7" i="32"/>
  <c r="H7" i="32"/>
  <c r="G7" i="32"/>
  <c r="L6" i="32"/>
  <c r="K6" i="32"/>
  <c r="J6" i="32"/>
  <c r="I6" i="32"/>
  <c r="H6" i="32"/>
  <c r="G6" i="32"/>
  <c r="L5" i="32"/>
  <c r="K5" i="32"/>
  <c r="J5" i="32"/>
  <c r="I5" i="32"/>
  <c r="H5" i="32"/>
  <c r="G5" i="32"/>
  <c r="M53" i="31"/>
  <c r="L53" i="31"/>
  <c r="K53" i="31"/>
  <c r="J53" i="31"/>
  <c r="I53" i="31"/>
  <c r="H53" i="31"/>
  <c r="G53" i="31"/>
  <c r="M52" i="31"/>
  <c r="L52" i="31"/>
  <c r="K52" i="31"/>
  <c r="J52" i="31"/>
  <c r="I52" i="31"/>
  <c r="H52" i="31"/>
  <c r="G52" i="31"/>
  <c r="M51" i="31"/>
  <c r="L51" i="31"/>
  <c r="K51" i="31"/>
  <c r="J51" i="31"/>
  <c r="I51" i="31"/>
  <c r="H51" i="31"/>
  <c r="G51" i="31"/>
  <c r="M50" i="31"/>
  <c r="L50" i="31"/>
  <c r="K50" i="31"/>
  <c r="J50" i="31"/>
  <c r="I50" i="31"/>
  <c r="H50" i="31"/>
  <c r="G50" i="31"/>
  <c r="M49" i="31"/>
  <c r="L49" i="31"/>
  <c r="K49" i="31"/>
  <c r="J49" i="31"/>
  <c r="I49" i="31"/>
  <c r="H49" i="31"/>
  <c r="G49" i="31"/>
  <c r="M48" i="31"/>
  <c r="L48" i="31"/>
  <c r="K48" i="31"/>
  <c r="J48" i="31"/>
  <c r="I48" i="31"/>
  <c r="H48" i="31"/>
  <c r="G48" i="31"/>
  <c r="M47" i="31"/>
  <c r="L47" i="31"/>
  <c r="K47" i="31"/>
  <c r="J47" i="31"/>
  <c r="I47" i="31"/>
  <c r="H47" i="31"/>
  <c r="G47" i="31"/>
  <c r="M46" i="31"/>
  <c r="L46" i="31"/>
  <c r="K46" i="31"/>
  <c r="J46" i="31"/>
  <c r="I46" i="31"/>
  <c r="H46" i="31"/>
  <c r="G46" i="31"/>
  <c r="M45" i="31"/>
  <c r="L45" i="31"/>
  <c r="K45" i="31"/>
  <c r="J45" i="31"/>
  <c r="I45" i="31"/>
  <c r="H45" i="31"/>
  <c r="G45" i="31"/>
  <c r="M44" i="31"/>
  <c r="L44" i="31"/>
  <c r="K44" i="31"/>
  <c r="J44" i="31"/>
  <c r="I44" i="31"/>
  <c r="H44" i="31"/>
  <c r="G44" i="31"/>
  <c r="M43" i="31"/>
  <c r="L43" i="31"/>
  <c r="K43" i="31"/>
  <c r="J43" i="31"/>
  <c r="I43" i="31"/>
  <c r="H43" i="31"/>
  <c r="G43" i="31"/>
  <c r="M42" i="31"/>
  <c r="L42" i="31"/>
  <c r="K42" i="31"/>
  <c r="J42" i="31"/>
  <c r="I42" i="31"/>
  <c r="H42" i="31"/>
  <c r="G42" i="31"/>
  <c r="M41" i="31"/>
  <c r="L41" i="31"/>
  <c r="K41" i="31"/>
  <c r="J41" i="31"/>
  <c r="I41" i="31"/>
  <c r="H41" i="31"/>
  <c r="G41" i="31"/>
  <c r="M40" i="31"/>
  <c r="L40" i="31"/>
  <c r="K40" i="31"/>
  <c r="J40" i="31"/>
  <c r="I40" i="31"/>
  <c r="H40" i="31"/>
  <c r="G40" i="31"/>
  <c r="M39" i="31"/>
  <c r="L39" i="31"/>
  <c r="K39" i="31"/>
  <c r="J39" i="31"/>
  <c r="I39" i="31"/>
  <c r="H39" i="31"/>
  <c r="G39" i="31"/>
  <c r="M38" i="31"/>
  <c r="L38" i="31"/>
  <c r="K38" i="31"/>
  <c r="J38" i="31"/>
  <c r="I38" i="31"/>
  <c r="H38" i="31"/>
  <c r="G38" i="31"/>
  <c r="M37" i="31"/>
  <c r="L37" i="31"/>
  <c r="K37" i="31"/>
  <c r="J37" i="31"/>
  <c r="I37" i="31"/>
  <c r="H37" i="31"/>
  <c r="G37" i="31"/>
  <c r="L36" i="31"/>
  <c r="K36" i="31"/>
  <c r="J36" i="31"/>
  <c r="I36" i="31"/>
  <c r="H36" i="31"/>
  <c r="G36" i="31"/>
  <c r="L35" i="31"/>
  <c r="K35" i="31"/>
  <c r="J35" i="31"/>
  <c r="I35" i="31"/>
  <c r="H35" i="31"/>
  <c r="G35" i="31"/>
  <c r="A31" i="31"/>
  <c r="L27" i="31"/>
  <c r="K27" i="31"/>
  <c r="J27" i="31"/>
  <c r="I27" i="31"/>
  <c r="H27" i="31"/>
  <c r="G27" i="31"/>
  <c r="L26" i="31"/>
  <c r="K26" i="31"/>
  <c r="J26" i="31"/>
  <c r="I26" i="31"/>
  <c r="H26" i="31"/>
  <c r="G26" i="31"/>
  <c r="L25" i="31"/>
  <c r="K25" i="31"/>
  <c r="J25" i="31"/>
  <c r="I25" i="31"/>
  <c r="H25" i="31"/>
  <c r="G25" i="31"/>
  <c r="L24" i="31"/>
  <c r="K24" i="31"/>
  <c r="J24" i="31"/>
  <c r="I24" i="31"/>
  <c r="H24" i="31"/>
  <c r="G24" i="31"/>
  <c r="L23" i="31"/>
  <c r="K23" i="31"/>
  <c r="J23" i="31"/>
  <c r="I23" i="31"/>
  <c r="H23" i="31"/>
  <c r="G23" i="31"/>
  <c r="L22" i="31"/>
  <c r="K22" i="31"/>
  <c r="J22" i="31"/>
  <c r="I22" i="31"/>
  <c r="H22" i="31"/>
  <c r="G22" i="31"/>
  <c r="L21" i="31"/>
  <c r="K21" i="31"/>
  <c r="J21" i="31"/>
  <c r="I21" i="31"/>
  <c r="H21" i="31"/>
  <c r="G21" i="31"/>
  <c r="L20" i="31"/>
  <c r="K20" i="31"/>
  <c r="J20" i="31"/>
  <c r="I20" i="31"/>
  <c r="H20" i="31"/>
  <c r="G20" i="31"/>
  <c r="L19" i="31"/>
  <c r="K19" i="31"/>
  <c r="J19" i="31"/>
  <c r="I19" i="31"/>
  <c r="H19" i="31"/>
  <c r="G19" i="31"/>
  <c r="L18" i="31"/>
  <c r="K18" i="31"/>
  <c r="J18" i="31"/>
  <c r="I18" i="31"/>
  <c r="H18" i="31"/>
  <c r="G18" i="31"/>
  <c r="L17" i="31"/>
  <c r="K17" i="31"/>
  <c r="J17" i="31"/>
  <c r="I17" i="31"/>
  <c r="H17" i="31"/>
  <c r="G17" i="31"/>
  <c r="L16" i="31"/>
  <c r="K16" i="31"/>
  <c r="J16" i="31"/>
  <c r="I16" i="31"/>
  <c r="H16" i="31"/>
  <c r="G16" i="31"/>
  <c r="L15" i="31"/>
  <c r="K15" i="31"/>
  <c r="J15" i="31"/>
  <c r="I15" i="31"/>
  <c r="H15" i="31"/>
  <c r="G15" i="31"/>
  <c r="L14" i="31"/>
  <c r="K14" i="31"/>
  <c r="J14" i="31"/>
  <c r="I14" i="31"/>
  <c r="H14" i="31"/>
  <c r="G14" i="31"/>
  <c r="L13" i="31"/>
  <c r="K13" i="31"/>
  <c r="J13" i="31"/>
  <c r="I13" i="31"/>
  <c r="H13" i="31"/>
  <c r="G13" i="31"/>
  <c r="L12" i="31"/>
  <c r="K12" i="31"/>
  <c r="J12" i="31"/>
  <c r="I12" i="31"/>
  <c r="H12" i="31"/>
  <c r="G12" i="31"/>
  <c r="J11" i="31"/>
  <c r="I11" i="31"/>
  <c r="H11" i="31"/>
  <c r="G11" i="31"/>
  <c r="K10" i="31"/>
  <c r="L9" i="31"/>
  <c r="K9" i="31"/>
  <c r="J9" i="31"/>
  <c r="I9" i="31"/>
  <c r="H9" i="31"/>
  <c r="G9" i="31"/>
  <c r="L8" i="31"/>
  <c r="K8" i="31"/>
  <c r="J8" i="31"/>
  <c r="I8" i="31"/>
  <c r="H8" i="31"/>
  <c r="G8" i="31"/>
  <c r="L7" i="31"/>
  <c r="K7" i="31"/>
  <c r="J7" i="31"/>
  <c r="I7" i="31"/>
  <c r="H7" i="31"/>
  <c r="G7" i="31"/>
  <c r="L6" i="31"/>
  <c r="K6" i="31"/>
  <c r="J6" i="31"/>
  <c r="I6" i="31"/>
  <c r="H6" i="31"/>
  <c r="G6" i="31"/>
  <c r="L5" i="31"/>
  <c r="K5" i="31"/>
  <c r="J5" i="31"/>
  <c r="I5" i="31"/>
  <c r="H5" i="31"/>
  <c r="G5" i="31"/>
  <c r="M53" i="30"/>
  <c r="L53" i="30"/>
  <c r="K53" i="30"/>
  <c r="J53" i="30"/>
  <c r="I53" i="30"/>
  <c r="H53" i="30"/>
  <c r="G53" i="30"/>
  <c r="M52" i="30"/>
  <c r="L52" i="30"/>
  <c r="K52" i="30"/>
  <c r="J52" i="30"/>
  <c r="I52" i="30"/>
  <c r="H52" i="30"/>
  <c r="G52" i="30"/>
  <c r="M51" i="30"/>
  <c r="L51" i="30"/>
  <c r="K51" i="30"/>
  <c r="J51" i="30"/>
  <c r="I51" i="30"/>
  <c r="H51" i="30"/>
  <c r="G51" i="30"/>
  <c r="M50" i="30"/>
  <c r="L50" i="30"/>
  <c r="K50" i="30"/>
  <c r="J50" i="30"/>
  <c r="I50" i="30"/>
  <c r="H50" i="30"/>
  <c r="G50" i="30"/>
  <c r="M49" i="30"/>
  <c r="L49" i="30"/>
  <c r="K49" i="30"/>
  <c r="J49" i="30"/>
  <c r="I49" i="30"/>
  <c r="H49" i="30"/>
  <c r="G49" i="30"/>
  <c r="M48" i="30"/>
  <c r="L48" i="30"/>
  <c r="K48" i="30"/>
  <c r="J48" i="30"/>
  <c r="I48" i="30"/>
  <c r="H48" i="30"/>
  <c r="G48" i="30"/>
  <c r="M47" i="30"/>
  <c r="L47" i="30"/>
  <c r="K47" i="30"/>
  <c r="J47" i="30"/>
  <c r="I47" i="30"/>
  <c r="H47" i="30"/>
  <c r="G47" i="30"/>
  <c r="M46" i="30"/>
  <c r="L46" i="30"/>
  <c r="K46" i="30"/>
  <c r="J46" i="30"/>
  <c r="I46" i="30"/>
  <c r="H46" i="30"/>
  <c r="G46" i="30"/>
  <c r="M45" i="30"/>
  <c r="L45" i="30"/>
  <c r="K45" i="30"/>
  <c r="J45" i="30"/>
  <c r="I45" i="30"/>
  <c r="H45" i="30"/>
  <c r="G45" i="30"/>
  <c r="M44" i="30"/>
  <c r="L44" i="30"/>
  <c r="K44" i="30"/>
  <c r="J44" i="30"/>
  <c r="I44" i="30"/>
  <c r="H44" i="30"/>
  <c r="G44" i="30"/>
  <c r="M43" i="30"/>
  <c r="L43" i="30"/>
  <c r="K43" i="30"/>
  <c r="J43" i="30"/>
  <c r="I43" i="30"/>
  <c r="H43" i="30"/>
  <c r="G43" i="30"/>
  <c r="M42" i="30"/>
  <c r="L42" i="30"/>
  <c r="K42" i="30"/>
  <c r="J42" i="30"/>
  <c r="I42" i="30"/>
  <c r="H42" i="30"/>
  <c r="G42" i="30"/>
  <c r="M41" i="30"/>
  <c r="L41" i="30"/>
  <c r="K41" i="30"/>
  <c r="J41" i="30"/>
  <c r="I41" i="30"/>
  <c r="H41" i="30"/>
  <c r="G41" i="30"/>
  <c r="M40" i="30"/>
  <c r="L40" i="30"/>
  <c r="K40" i="30"/>
  <c r="J40" i="30"/>
  <c r="I40" i="30"/>
  <c r="H40" i="30"/>
  <c r="G40" i="30"/>
  <c r="M39" i="30"/>
  <c r="L39" i="30"/>
  <c r="K39" i="30"/>
  <c r="J39" i="30"/>
  <c r="I39" i="30"/>
  <c r="H39" i="30"/>
  <c r="G39" i="30"/>
  <c r="M38" i="30"/>
  <c r="L38" i="30"/>
  <c r="K38" i="30"/>
  <c r="J38" i="30"/>
  <c r="I38" i="30"/>
  <c r="H38" i="30"/>
  <c r="G38" i="30"/>
  <c r="M37" i="30"/>
  <c r="L37" i="30"/>
  <c r="K37" i="30"/>
  <c r="J37" i="30"/>
  <c r="I37" i="30"/>
  <c r="H37" i="30"/>
  <c r="G37" i="30"/>
  <c r="L36" i="30"/>
  <c r="K36" i="30"/>
  <c r="J36" i="30"/>
  <c r="I36" i="30"/>
  <c r="H36" i="30"/>
  <c r="G36" i="30"/>
  <c r="L35" i="30"/>
  <c r="K35" i="30"/>
  <c r="J35" i="30"/>
  <c r="I35" i="30"/>
  <c r="H35" i="30"/>
  <c r="G35" i="30"/>
  <c r="A31" i="30"/>
  <c r="L27" i="30"/>
  <c r="K27" i="30"/>
  <c r="J27" i="30"/>
  <c r="I27" i="30"/>
  <c r="H27" i="30"/>
  <c r="G27" i="30"/>
  <c r="L26" i="30"/>
  <c r="K26" i="30"/>
  <c r="J26" i="30"/>
  <c r="I26" i="30"/>
  <c r="H26" i="30"/>
  <c r="G26" i="30"/>
  <c r="L25" i="30"/>
  <c r="K25" i="30"/>
  <c r="J25" i="30"/>
  <c r="I25" i="30"/>
  <c r="H25" i="30"/>
  <c r="G25" i="30"/>
  <c r="L24" i="30"/>
  <c r="K24" i="30"/>
  <c r="J24" i="30"/>
  <c r="I24" i="30"/>
  <c r="H24" i="30"/>
  <c r="G24" i="30"/>
  <c r="L23" i="30"/>
  <c r="K23" i="30"/>
  <c r="J23" i="30"/>
  <c r="I23" i="30"/>
  <c r="H23" i="30"/>
  <c r="G23" i="30"/>
  <c r="L22" i="30"/>
  <c r="K22" i="30"/>
  <c r="J22" i="30"/>
  <c r="I22" i="30"/>
  <c r="H22" i="30"/>
  <c r="G22" i="30"/>
  <c r="L21" i="30"/>
  <c r="K21" i="30"/>
  <c r="J21" i="30"/>
  <c r="I21" i="30"/>
  <c r="H21" i="30"/>
  <c r="G21" i="30"/>
  <c r="L20" i="30"/>
  <c r="K20" i="30"/>
  <c r="J20" i="30"/>
  <c r="I20" i="30"/>
  <c r="H20" i="30"/>
  <c r="G20" i="30"/>
  <c r="L19" i="30"/>
  <c r="K19" i="30"/>
  <c r="J19" i="30"/>
  <c r="I19" i="30"/>
  <c r="H19" i="30"/>
  <c r="G19" i="30"/>
  <c r="L18" i="30"/>
  <c r="K18" i="30"/>
  <c r="J18" i="30"/>
  <c r="I18" i="30"/>
  <c r="H18" i="30"/>
  <c r="G18" i="30"/>
  <c r="L17" i="30"/>
  <c r="K17" i="30"/>
  <c r="J17" i="30"/>
  <c r="I17" i="30"/>
  <c r="H17" i="30"/>
  <c r="G17" i="30"/>
  <c r="L16" i="30"/>
  <c r="K16" i="30"/>
  <c r="J16" i="30"/>
  <c r="I16" i="30"/>
  <c r="H16" i="30"/>
  <c r="G16" i="30"/>
  <c r="L15" i="30"/>
  <c r="K15" i="30"/>
  <c r="J15" i="30"/>
  <c r="I15" i="30"/>
  <c r="H15" i="30"/>
  <c r="G15" i="30"/>
  <c r="L14" i="30"/>
  <c r="K14" i="30"/>
  <c r="J14" i="30"/>
  <c r="I14" i="30"/>
  <c r="H14" i="30"/>
  <c r="G14" i="30"/>
  <c r="L13" i="30"/>
  <c r="K13" i="30"/>
  <c r="J13" i="30"/>
  <c r="I13" i="30"/>
  <c r="H13" i="30"/>
  <c r="G13" i="30"/>
  <c r="L12" i="30"/>
  <c r="K12" i="30"/>
  <c r="J12" i="30"/>
  <c r="I12" i="30"/>
  <c r="H12" i="30"/>
  <c r="G12" i="30"/>
  <c r="J11" i="30"/>
  <c r="I11" i="30"/>
  <c r="H11" i="30"/>
  <c r="G11" i="30"/>
  <c r="K10" i="30"/>
  <c r="L9" i="30"/>
  <c r="K9" i="30"/>
  <c r="J9" i="30"/>
  <c r="I9" i="30"/>
  <c r="H9" i="30"/>
  <c r="G9" i="30"/>
  <c r="L8" i="30"/>
  <c r="K8" i="30"/>
  <c r="J8" i="30"/>
  <c r="I8" i="30"/>
  <c r="H8" i="30"/>
  <c r="G8" i="30"/>
  <c r="L7" i="30"/>
  <c r="K7" i="30"/>
  <c r="J7" i="30"/>
  <c r="I7" i="30"/>
  <c r="H7" i="30"/>
  <c r="G7" i="30"/>
  <c r="L6" i="30"/>
  <c r="K6" i="30"/>
  <c r="J6" i="30"/>
  <c r="I6" i="30"/>
  <c r="H6" i="30"/>
  <c r="G6" i="30"/>
  <c r="L5" i="30"/>
  <c r="K5" i="30"/>
  <c r="J5" i="30"/>
  <c r="I5" i="30"/>
  <c r="H5" i="30"/>
  <c r="G5" i="30"/>
  <c r="M53" i="29"/>
  <c r="L53" i="29"/>
  <c r="K53" i="29"/>
  <c r="J53" i="29"/>
  <c r="I53" i="29"/>
  <c r="H53" i="29"/>
  <c r="G53" i="29"/>
  <c r="M52" i="29"/>
  <c r="L52" i="29"/>
  <c r="K52" i="29"/>
  <c r="J52" i="29"/>
  <c r="I52" i="29"/>
  <c r="H52" i="29"/>
  <c r="G52" i="29"/>
  <c r="M51" i="29"/>
  <c r="L51" i="29"/>
  <c r="K51" i="29"/>
  <c r="J51" i="29"/>
  <c r="I51" i="29"/>
  <c r="H51" i="29"/>
  <c r="G51" i="29"/>
  <c r="M50" i="29"/>
  <c r="L50" i="29"/>
  <c r="K50" i="29"/>
  <c r="J50" i="29"/>
  <c r="I50" i="29"/>
  <c r="H50" i="29"/>
  <c r="G50" i="29"/>
  <c r="M49" i="29"/>
  <c r="L49" i="29"/>
  <c r="K49" i="29"/>
  <c r="J49" i="29"/>
  <c r="I49" i="29"/>
  <c r="H49" i="29"/>
  <c r="G49" i="29"/>
  <c r="M48" i="29"/>
  <c r="L48" i="29"/>
  <c r="K48" i="29"/>
  <c r="J48" i="29"/>
  <c r="I48" i="29"/>
  <c r="H48" i="29"/>
  <c r="G48" i="29"/>
  <c r="M47" i="29"/>
  <c r="L47" i="29"/>
  <c r="K47" i="29"/>
  <c r="J47" i="29"/>
  <c r="I47" i="29"/>
  <c r="H47" i="29"/>
  <c r="G47" i="29"/>
  <c r="M46" i="29"/>
  <c r="L46" i="29"/>
  <c r="K46" i="29"/>
  <c r="J46" i="29"/>
  <c r="I46" i="29"/>
  <c r="H46" i="29"/>
  <c r="G46" i="29"/>
  <c r="M45" i="29"/>
  <c r="L45" i="29"/>
  <c r="K45" i="29"/>
  <c r="J45" i="29"/>
  <c r="I45" i="29"/>
  <c r="H45" i="29"/>
  <c r="G45" i="29"/>
  <c r="M44" i="29"/>
  <c r="L44" i="29"/>
  <c r="K44" i="29"/>
  <c r="J44" i="29"/>
  <c r="I44" i="29"/>
  <c r="H44" i="29"/>
  <c r="G44" i="29"/>
  <c r="M43" i="29"/>
  <c r="L43" i="29"/>
  <c r="K43" i="29"/>
  <c r="J43" i="29"/>
  <c r="I43" i="29"/>
  <c r="H43" i="29"/>
  <c r="G43" i="29"/>
  <c r="M42" i="29"/>
  <c r="L42" i="29"/>
  <c r="K42" i="29"/>
  <c r="J42" i="29"/>
  <c r="I42" i="29"/>
  <c r="H42" i="29"/>
  <c r="G42" i="29"/>
  <c r="M41" i="29"/>
  <c r="L41" i="29"/>
  <c r="K41" i="29"/>
  <c r="J41" i="29"/>
  <c r="I41" i="29"/>
  <c r="H41" i="29"/>
  <c r="G41" i="29"/>
  <c r="M40" i="29"/>
  <c r="L40" i="29"/>
  <c r="K40" i="29"/>
  <c r="J40" i="29"/>
  <c r="I40" i="29"/>
  <c r="H40" i="29"/>
  <c r="G40" i="29"/>
  <c r="M39" i="29"/>
  <c r="L39" i="29"/>
  <c r="K39" i="29"/>
  <c r="J39" i="29"/>
  <c r="I39" i="29"/>
  <c r="H39" i="29"/>
  <c r="G39" i="29"/>
  <c r="M38" i="29"/>
  <c r="L38" i="29"/>
  <c r="K38" i="29"/>
  <c r="J38" i="29"/>
  <c r="I38" i="29"/>
  <c r="H38" i="29"/>
  <c r="G38" i="29"/>
  <c r="M37" i="29"/>
  <c r="L37" i="29"/>
  <c r="K37" i="29"/>
  <c r="J37" i="29"/>
  <c r="I37" i="29"/>
  <c r="H37" i="29"/>
  <c r="G37" i="29"/>
  <c r="L36" i="29"/>
  <c r="K36" i="29"/>
  <c r="J36" i="29"/>
  <c r="I36" i="29"/>
  <c r="H36" i="29"/>
  <c r="G36" i="29"/>
  <c r="L35" i="29"/>
  <c r="K35" i="29"/>
  <c r="J35" i="29"/>
  <c r="I35" i="29"/>
  <c r="H35" i="29"/>
  <c r="G35" i="29"/>
  <c r="A31" i="29"/>
  <c r="L27" i="29"/>
  <c r="K27" i="29"/>
  <c r="J27" i="29"/>
  <c r="I27" i="29"/>
  <c r="H27" i="29"/>
  <c r="G27" i="29"/>
  <c r="L26" i="29"/>
  <c r="K26" i="29"/>
  <c r="J26" i="29"/>
  <c r="I26" i="29"/>
  <c r="H26" i="29"/>
  <c r="G26" i="29"/>
  <c r="L25" i="29"/>
  <c r="K25" i="29"/>
  <c r="J25" i="29"/>
  <c r="I25" i="29"/>
  <c r="H25" i="29"/>
  <c r="G25" i="29"/>
  <c r="L24" i="29"/>
  <c r="K24" i="29"/>
  <c r="J24" i="29"/>
  <c r="I24" i="29"/>
  <c r="H24" i="29"/>
  <c r="G24" i="29"/>
  <c r="L23" i="29"/>
  <c r="K23" i="29"/>
  <c r="J23" i="29"/>
  <c r="I23" i="29"/>
  <c r="H23" i="29"/>
  <c r="G23" i="29"/>
  <c r="L22" i="29"/>
  <c r="K22" i="29"/>
  <c r="J22" i="29"/>
  <c r="I22" i="29"/>
  <c r="H22" i="29"/>
  <c r="G22" i="29"/>
  <c r="L21" i="29"/>
  <c r="K21" i="29"/>
  <c r="J21" i="29"/>
  <c r="I21" i="29"/>
  <c r="H21" i="29"/>
  <c r="G21" i="29"/>
  <c r="L20" i="29"/>
  <c r="K20" i="29"/>
  <c r="J20" i="29"/>
  <c r="I20" i="29"/>
  <c r="H20" i="29"/>
  <c r="G20" i="29"/>
  <c r="L19" i="29"/>
  <c r="K19" i="29"/>
  <c r="J19" i="29"/>
  <c r="I19" i="29"/>
  <c r="H19" i="29"/>
  <c r="G19" i="29"/>
  <c r="L18" i="29"/>
  <c r="K18" i="29"/>
  <c r="J18" i="29"/>
  <c r="I18" i="29"/>
  <c r="H18" i="29"/>
  <c r="G18" i="29"/>
  <c r="L17" i="29"/>
  <c r="K17" i="29"/>
  <c r="J17" i="29"/>
  <c r="I17" i="29"/>
  <c r="H17" i="29"/>
  <c r="G17" i="29"/>
  <c r="L16" i="29"/>
  <c r="K16" i="29"/>
  <c r="J16" i="29"/>
  <c r="I16" i="29"/>
  <c r="H16" i="29"/>
  <c r="G16" i="29"/>
  <c r="L15" i="29"/>
  <c r="K15" i="29"/>
  <c r="J15" i="29"/>
  <c r="I15" i="29"/>
  <c r="H15" i="29"/>
  <c r="G15" i="29"/>
  <c r="L14" i="29"/>
  <c r="K14" i="29"/>
  <c r="J14" i="29"/>
  <c r="I14" i="29"/>
  <c r="H14" i="29"/>
  <c r="G14" i="29"/>
  <c r="L13" i="29"/>
  <c r="K13" i="29"/>
  <c r="J13" i="29"/>
  <c r="I13" i="29"/>
  <c r="H13" i="29"/>
  <c r="G13" i="29"/>
  <c r="L12" i="29"/>
  <c r="K12" i="29"/>
  <c r="J12" i="29"/>
  <c r="I12" i="29"/>
  <c r="H12" i="29"/>
  <c r="G12" i="29"/>
  <c r="J11" i="29"/>
  <c r="I11" i="29"/>
  <c r="H11" i="29"/>
  <c r="G11" i="29"/>
  <c r="K10" i="29"/>
  <c r="L9" i="29"/>
  <c r="K9" i="29"/>
  <c r="J9" i="29"/>
  <c r="I9" i="29"/>
  <c r="H9" i="29"/>
  <c r="G9" i="29"/>
  <c r="L8" i="29"/>
  <c r="K8" i="29"/>
  <c r="J8" i="29"/>
  <c r="I8" i="29"/>
  <c r="H8" i="29"/>
  <c r="G8" i="29"/>
  <c r="L7" i="29"/>
  <c r="K7" i="29"/>
  <c r="J7" i="29"/>
  <c r="I7" i="29"/>
  <c r="H7" i="29"/>
  <c r="G7" i="29"/>
  <c r="L6" i="29"/>
  <c r="K6" i="29"/>
  <c r="J6" i="29"/>
  <c r="I6" i="29"/>
  <c r="H6" i="29"/>
  <c r="G6" i="29"/>
  <c r="L5" i="29"/>
  <c r="K5" i="29"/>
  <c r="J5" i="29"/>
  <c r="I5" i="29"/>
  <c r="H5" i="29"/>
  <c r="G5" i="29"/>
  <c r="M53" i="28"/>
  <c r="L53" i="28"/>
  <c r="K53" i="28"/>
  <c r="J53" i="28"/>
  <c r="I53" i="28"/>
  <c r="H53" i="28"/>
  <c r="G53" i="28"/>
  <c r="M52" i="28"/>
  <c r="L52" i="28"/>
  <c r="K52" i="28"/>
  <c r="J52" i="28"/>
  <c r="I52" i="28"/>
  <c r="H52" i="28"/>
  <c r="G52" i="28"/>
  <c r="M51" i="28"/>
  <c r="L51" i="28"/>
  <c r="K51" i="28"/>
  <c r="J51" i="28"/>
  <c r="I51" i="28"/>
  <c r="H51" i="28"/>
  <c r="G51" i="28"/>
  <c r="M50" i="28"/>
  <c r="L50" i="28"/>
  <c r="K50" i="28"/>
  <c r="J50" i="28"/>
  <c r="I50" i="28"/>
  <c r="H50" i="28"/>
  <c r="G50" i="28"/>
  <c r="M49" i="28"/>
  <c r="L49" i="28"/>
  <c r="K49" i="28"/>
  <c r="J49" i="28"/>
  <c r="I49" i="28"/>
  <c r="H49" i="28"/>
  <c r="G49" i="28"/>
  <c r="M48" i="28"/>
  <c r="L48" i="28"/>
  <c r="K48" i="28"/>
  <c r="J48" i="28"/>
  <c r="I48" i="28"/>
  <c r="H48" i="28"/>
  <c r="G48" i="28"/>
  <c r="M47" i="28"/>
  <c r="L47" i="28"/>
  <c r="K47" i="28"/>
  <c r="J47" i="28"/>
  <c r="I47" i="28"/>
  <c r="H47" i="28"/>
  <c r="G47" i="28"/>
  <c r="M46" i="28"/>
  <c r="L46" i="28"/>
  <c r="K46" i="28"/>
  <c r="J46" i="28"/>
  <c r="I46" i="28"/>
  <c r="H46" i="28"/>
  <c r="G46" i="28"/>
  <c r="M45" i="28"/>
  <c r="L45" i="28"/>
  <c r="K45" i="28"/>
  <c r="J45" i="28"/>
  <c r="I45" i="28"/>
  <c r="H45" i="28"/>
  <c r="G45" i="28"/>
  <c r="M44" i="28"/>
  <c r="L44" i="28"/>
  <c r="K44" i="28"/>
  <c r="J44" i="28"/>
  <c r="I44" i="28"/>
  <c r="H44" i="28"/>
  <c r="G44" i="28"/>
  <c r="M43" i="28"/>
  <c r="L43" i="28"/>
  <c r="K43" i="28"/>
  <c r="J43" i="28"/>
  <c r="I43" i="28"/>
  <c r="H43" i="28"/>
  <c r="G43" i="28"/>
  <c r="M42" i="28"/>
  <c r="L42" i="28"/>
  <c r="K42" i="28"/>
  <c r="J42" i="28"/>
  <c r="I42" i="28"/>
  <c r="H42" i="28"/>
  <c r="G42" i="28"/>
  <c r="M41" i="28"/>
  <c r="L41" i="28"/>
  <c r="K41" i="28"/>
  <c r="J41" i="28"/>
  <c r="I41" i="28"/>
  <c r="H41" i="28"/>
  <c r="G41" i="28"/>
  <c r="M40" i="28"/>
  <c r="L40" i="28"/>
  <c r="K40" i="28"/>
  <c r="J40" i="28"/>
  <c r="I40" i="28"/>
  <c r="H40" i="28"/>
  <c r="G40" i="28"/>
  <c r="M39" i="28"/>
  <c r="L39" i="28"/>
  <c r="K39" i="28"/>
  <c r="J39" i="28"/>
  <c r="I39" i="28"/>
  <c r="H39" i="28"/>
  <c r="G39" i="28"/>
  <c r="M38" i="28"/>
  <c r="L38" i="28"/>
  <c r="K38" i="28"/>
  <c r="J38" i="28"/>
  <c r="I38" i="28"/>
  <c r="H38" i="28"/>
  <c r="G38" i="28"/>
  <c r="M37" i="28"/>
  <c r="L37" i="28"/>
  <c r="K37" i="28"/>
  <c r="J37" i="28"/>
  <c r="I37" i="28"/>
  <c r="H37" i="28"/>
  <c r="G37" i="28"/>
  <c r="L36" i="28"/>
  <c r="K36" i="28"/>
  <c r="J36" i="28"/>
  <c r="I36" i="28"/>
  <c r="H36" i="28"/>
  <c r="G36" i="28"/>
  <c r="L35" i="28"/>
  <c r="K35" i="28"/>
  <c r="J35" i="28"/>
  <c r="I35" i="28"/>
  <c r="H35" i="28"/>
  <c r="G35" i="28"/>
  <c r="A31" i="28"/>
  <c r="L27" i="28"/>
  <c r="K27" i="28"/>
  <c r="J27" i="28"/>
  <c r="I27" i="28"/>
  <c r="H27" i="28"/>
  <c r="G27" i="28"/>
  <c r="L26" i="28"/>
  <c r="K26" i="28"/>
  <c r="J26" i="28"/>
  <c r="I26" i="28"/>
  <c r="H26" i="28"/>
  <c r="G26" i="28"/>
  <c r="L25" i="28"/>
  <c r="K25" i="28"/>
  <c r="J25" i="28"/>
  <c r="I25" i="28"/>
  <c r="H25" i="28"/>
  <c r="G25" i="28"/>
  <c r="L24" i="28"/>
  <c r="K24" i="28"/>
  <c r="J24" i="28"/>
  <c r="I24" i="28"/>
  <c r="H24" i="28"/>
  <c r="G24" i="28"/>
  <c r="L23" i="28"/>
  <c r="K23" i="28"/>
  <c r="J23" i="28"/>
  <c r="I23" i="28"/>
  <c r="H23" i="28"/>
  <c r="G23" i="28"/>
  <c r="L22" i="28"/>
  <c r="K22" i="28"/>
  <c r="J22" i="28"/>
  <c r="I22" i="28"/>
  <c r="H22" i="28"/>
  <c r="G22" i="28"/>
  <c r="L21" i="28"/>
  <c r="K21" i="28"/>
  <c r="J21" i="28"/>
  <c r="I21" i="28"/>
  <c r="H21" i="28"/>
  <c r="G21" i="28"/>
  <c r="L20" i="28"/>
  <c r="K20" i="28"/>
  <c r="J20" i="28"/>
  <c r="I20" i="28"/>
  <c r="H20" i="28"/>
  <c r="G20" i="28"/>
  <c r="L19" i="28"/>
  <c r="K19" i="28"/>
  <c r="J19" i="28"/>
  <c r="I19" i="28"/>
  <c r="H19" i="28"/>
  <c r="G19" i="28"/>
  <c r="L18" i="28"/>
  <c r="K18" i="28"/>
  <c r="J18" i="28"/>
  <c r="I18" i="28"/>
  <c r="H18" i="28"/>
  <c r="G18" i="28"/>
  <c r="L17" i="28"/>
  <c r="K17" i="28"/>
  <c r="J17" i="28"/>
  <c r="I17" i="28"/>
  <c r="H17" i="28"/>
  <c r="G17" i="28"/>
  <c r="L16" i="28"/>
  <c r="K16" i="28"/>
  <c r="J16" i="28"/>
  <c r="I16" i="28"/>
  <c r="H16" i="28"/>
  <c r="G16" i="28"/>
  <c r="L15" i="28"/>
  <c r="K15" i="28"/>
  <c r="J15" i="28"/>
  <c r="I15" i="28"/>
  <c r="H15" i="28"/>
  <c r="G15" i="28"/>
  <c r="L14" i="28"/>
  <c r="K14" i="28"/>
  <c r="J14" i="28"/>
  <c r="I14" i="28"/>
  <c r="H14" i="28"/>
  <c r="G14" i="28"/>
  <c r="L13" i="28"/>
  <c r="K13" i="28"/>
  <c r="J13" i="28"/>
  <c r="I13" i="28"/>
  <c r="H13" i="28"/>
  <c r="G13" i="28"/>
  <c r="L12" i="28"/>
  <c r="K12" i="28"/>
  <c r="J12" i="28"/>
  <c r="I12" i="28"/>
  <c r="H12" i="28"/>
  <c r="G12" i="28"/>
  <c r="J11" i="28"/>
  <c r="I11" i="28"/>
  <c r="H11" i="28"/>
  <c r="G11" i="28"/>
  <c r="K10" i="28"/>
  <c r="L9" i="28"/>
  <c r="K9" i="28"/>
  <c r="J9" i="28"/>
  <c r="I9" i="28"/>
  <c r="H9" i="28"/>
  <c r="G9" i="28"/>
  <c r="L8" i="28"/>
  <c r="K8" i="28"/>
  <c r="J8" i="28"/>
  <c r="I8" i="28"/>
  <c r="H8" i="28"/>
  <c r="G8" i="28"/>
  <c r="L7" i="28"/>
  <c r="K7" i="28"/>
  <c r="J7" i="28"/>
  <c r="I7" i="28"/>
  <c r="H7" i="28"/>
  <c r="G7" i="28"/>
  <c r="L6" i="28"/>
  <c r="K6" i="28"/>
  <c r="J6" i="28"/>
  <c r="I6" i="28"/>
  <c r="H6" i="28"/>
  <c r="G6" i="28"/>
  <c r="L5" i="28"/>
  <c r="K5" i="28"/>
  <c r="J5" i="28"/>
  <c r="I5" i="28"/>
  <c r="H5" i="28"/>
  <c r="G5" i="28"/>
  <c r="M53" i="27"/>
  <c r="L53" i="27"/>
  <c r="K53" i="27"/>
  <c r="J53" i="27"/>
  <c r="I53" i="27"/>
  <c r="H53" i="27"/>
  <c r="G53" i="27"/>
  <c r="M52" i="27"/>
  <c r="L52" i="27"/>
  <c r="K52" i="27"/>
  <c r="J52" i="27"/>
  <c r="I52" i="27"/>
  <c r="H52" i="27"/>
  <c r="G52" i="27"/>
  <c r="M51" i="27"/>
  <c r="L51" i="27"/>
  <c r="K51" i="27"/>
  <c r="J51" i="27"/>
  <c r="I51" i="27"/>
  <c r="H51" i="27"/>
  <c r="G51" i="27"/>
  <c r="M50" i="27"/>
  <c r="L50" i="27"/>
  <c r="K50" i="27"/>
  <c r="J50" i="27"/>
  <c r="I50" i="27"/>
  <c r="H50" i="27"/>
  <c r="G50" i="27"/>
  <c r="M49" i="27"/>
  <c r="L49" i="27"/>
  <c r="K49" i="27"/>
  <c r="J49" i="27"/>
  <c r="I49" i="27"/>
  <c r="H49" i="27"/>
  <c r="G49" i="27"/>
  <c r="M48" i="27"/>
  <c r="L48" i="27"/>
  <c r="K48" i="27"/>
  <c r="J48" i="27"/>
  <c r="I48" i="27"/>
  <c r="H48" i="27"/>
  <c r="G48" i="27"/>
  <c r="M47" i="27"/>
  <c r="L47" i="27"/>
  <c r="K47" i="27"/>
  <c r="J47" i="27"/>
  <c r="I47" i="27"/>
  <c r="H47" i="27"/>
  <c r="G47" i="27"/>
  <c r="M46" i="27"/>
  <c r="L46" i="27"/>
  <c r="K46" i="27"/>
  <c r="J46" i="27"/>
  <c r="I46" i="27"/>
  <c r="H46" i="27"/>
  <c r="G46" i="27"/>
  <c r="M45" i="27"/>
  <c r="L45" i="27"/>
  <c r="K45" i="27"/>
  <c r="J45" i="27"/>
  <c r="I45" i="27"/>
  <c r="H45" i="27"/>
  <c r="G45" i="27"/>
  <c r="M44" i="27"/>
  <c r="L44" i="27"/>
  <c r="K44" i="27"/>
  <c r="J44" i="27"/>
  <c r="I44" i="27"/>
  <c r="H44" i="27"/>
  <c r="G44" i="27"/>
  <c r="M43" i="27"/>
  <c r="L43" i="27"/>
  <c r="K43" i="27"/>
  <c r="J43" i="27"/>
  <c r="I43" i="27"/>
  <c r="H43" i="27"/>
  <c r="G43" i="27"/>
  <c r="M42" i="27"/>
  <c r="L42" i="27"/>
  <c r="K42" i="27"/>
  <c r="J42" i="27"/>
  <c r="I42" i="27"/>
  <c r="H42" i="27"/>
  <c r="G42" i="27"/>
  <c r="M41" i="27"/>
  <c r="L41" i="27"/>
  <c r="K41" i="27"/>
  <c r="J41" i="27"/>
  <c r="I41" i="27"/>
  <c r="H41" i="27"/>
  <c r="G41" i="27"/>
  <c r="M40" i="27"/>
  <c r="L40" i="27"/>
  <c r="K40" i="27"/>
  <c r="J40" i="27"/>
  <c r="I40" i="27"/>
  <c r="H40" i="27"/>
  <c r="G40" i="27"/>
  <c r="M39" i="27"/>
  <c r="L39" i="27"/>
  <c r="K39" i="27"/>
  <c r="J39" i="27"/>
  <c r="I39" i="27"/>
  <c r="H39" i="27"/>
  <c r="G39" i="27"/>
  <c r="M38" i="27"/>
  <c r="L38" i="27"/>
  <c r="K38" i="27"/>
  <c r="J38" i="27"/>
  <c r="I38" i="27"/>
  <c r="H38" i="27"/>
  <c r="G38" i="27"/>
  <c r="M37" i="27"/>
  <c r="L37" i="27"/>
  <c r="K37" i="27"/>
  <c r="J37" i="27"/>
  <c r="I37" i="27"/>
  <c r="H37" i="27"/>
  <c r="G37" i="27"/>
  <c r="L36" i="27"/>
  <c r="K36" i="27"/>
  <c r="J36" i="27"/>
  <c r="I36" i="27"/>
  <c r="H36" i="27"/>
  <c r="G36" i="27"/>
  <c r="L35" i="27"/>
  <c r="K35" i="27"/>
  <c r="J35" i="27"/>
  <c r="I35" i="27"/>
  <c r="H35" i="27"/>
  <c r="G35" i="27"/>
  <c r="A31" i="27"/>
  <c r="L27" i="27"/>
  <c r="K27" i="27"/>
  <c r="J27" i="27"/>
  <c r="I27" i="27"/>
  <c r="H27" i="27"/>
  <c r="G27" i="27"/>
  <c r="L26" i="27"/>
  <c r="K26" i="27"/>
  <c r="J26" i="27"/>
  <c r="I26" i="27"/>
  <c r="H26" i="27"/>
  <c r="G26" i="27"/>
  <c r="L25" i="27"/>
  <c r="K25" i="27"/>
  <c r="J25" i="27"/>
  <c r="I25" i="27"/>
  <c r="H25" i="27"/>
  <c r="G25" i="27"/>
  <c r="L24" i="27"/>
  <c r="K24" i="27"/>
  <c r="J24" i="27"/>
  <c r="I24" i="27"/>
  <c r="H24" i="27"/>
  <c r="G24" i="27"/>
  <c r="L23" i="27"/>
  <c r="K23" i="27"/>
  <c r="J23" i="27"/>
  <c r="I23" i="27"/>
  <c r="H23" i="27"/>
  <c r="G23" i="27"/>
  <c r="L22" i="27"/>
  <c r="K22" i="27"/>
  <c r="J22" i="27"/>
  <c r="I22" i="27"/>
  <c r="H22" i="27"/>
  <c r="G22" i="27"/>
  <c r="L21" i="27"/>
  <c r="K21" i="27"/>
  <c r="J21" i="27"/>
  <c r="I21" i="27"/>
  <c r="H21" i="27"/>
  <c r="G21" i="27"/>
  <c r="L20" i="27"/>
  <c r="K20" i="27"/>
  <c r="J20" i="27"/>
  <c r="I20" i="27"/>
  <c r="H20" i="27"/>
  <c r="G20" i="27"/>
  <c r="L19" i="27"/>
  <c r="K19" i="27"/>
  <c r="J19" i="27"/>
  <c r="I19" i="27"/>
  <c r="H19" i="27"/>
  <c r="G19" i="27"/>
  <c r="L18" i="27"/>
  <c r="K18" i="27"/>
  <c r="J18" i="27"/>
  <c r="I18" i="27"/>
  <c r="H18" i="27"/>
  <c r="G18" i="27"/>
  <c r="L17" i="27"/>
  <c r="K17" i="27"/>
  <c r="J17" i="27"/>
  <c r="I17" i="27"/>
  <c r="H17" i="27"/>
  <c r="G17" i="27"/>
  <c r="L16" i="27"/>
  <c r="K16" i="27"/>
  <c r="J16" i="27"/>
  <c r="I16" i="27"/>
  <c r="H16" i="27"/>
  <c r="G16" i="27"/>
  <c r="L15" i="27"/>
  <c r="K15" i="27"/>
  <c r="J15" i="27"/>
  <c r="I15" i="27"/>
  <c r="H15" i="27"/>
  <c r="G15" i="27"/>
  <c r="L14" i="27"/>
  <c r="K14" i="27"/>
  <c r="J14" i="27"/>
  <c r="I14" i="27"/>
  <c r="H14" i="27"/>
  <c r="G14" i="27"/>
  <c r="L13" i="27"/>
  <c r="K13" i="27"/>
  <c r="J13" i="27"/>
  <c r="I13" i="27"/>
  <c r="H13" i="27"/>
  <c r="G13" i="27"/>
  <c r="L12" i="27"/>
  <c r="K12" i="27"/>
  <c r="J12" i="27"/>
  <c r="I12" i="27"/>
  <c r="H12" i="27"/>
  <c r="G12" i="27"/>
  <c r="J11" i="27"/>
  <c r="I11" i="27"/>
  <c r="H11" i="27"/>
  <c r="G11" i="27"/>
  <c r="K10" i="27"/>
  <c r="L9" i="27"/>
  <c r="K9" i="27"/>
  <c r="J9" i="27"/>
  <c r="I9" i="27"/>
  <c r="H9" i="27"/>
  <c r="G9" i="27"/>
  <c r="L8" i="27"/>
  <c r="K8" i="27"/>
  <c r="J8" i="27"/>
  <c r="I8" i="27"/>
  <c r="H8" i="27"/>
  <c r="G8" i="27"/>
  <c r="L7" i="27"/>
  <c r="K7" i="27"/>
  <c r="J7" i="27"/>
  <c r="I7" i="27"/>
  <c r="H7" i="27"/>
  <c r="G7" i="27"/>
  <c r="L6" i="27"/>
  <c r="K6" i="27"/>
  <c r="J6" i="27"/>
  <c r="I6" i="27"/>
  <c r="H6" i="27"/>
  <c r="G6" i="27"/>
  <c r="L5" i="27"/>
  <c r="K5" i="27"/>
  <c r="J5" i="27"/>
  <c r="I5" i="27"/>
  <c r="H5" i="27"/>
  <c r="G5" i="27"/>
  <c r="M53" i="26"/>
  <c r="L53" i="26"/>
  <c r="K53" i="26"/>
  <c r="J53" i="26"/>
  <c r="I53" i="26"/>
  <c r="H53" i="26"/>
  <c r="G53" i="26"/>
  <c r="M52" i="26"/>
  <c r="L52" i="26"/>
  <c r="K52" i="26"/>
  <c r="J52" i="26"/>
  <c r="I52" i="26"/>
  <c r="H52" i="26"/>
  <c r="G52" i="26"/>
  <c r="M51" i="26"/>
  <c r="L51" i="26"/>
  <c r="K51" i="26"/>
  <c r="J51" i="26"/>
  <c r="I51" i="26"/>
  <c r="H51" i="26"/>
  <c r="G51" i="26"/>
  <c r="M50" i="26"/>
  <c r="L50" i="26"/>
  <c r="K50" i="26"/>
  <c r="J50" i="26"/>
  <c r="I50" i="26"/>
  <c r="H50" i="26"/>
  <c r="G50" i="26"/>
  <c r="M49" i="26"/>
  <c r="L49" i="26"/>
  <c r="K49" i="26"/>
  <c r="J49" i="26"/>
  <c r="I49" i="26"/>
  <c r="H49" i="26"/>
  <c r="G49" i="26"/>
  <c r="M48" i="26"/>
  <c r="L48" i="26"/>
  <c r="K48" i="26"/>
  <c r="J48" i="26"/>
  <c r="I48" i="26"/>
  <c r="H48" i="26"/>
  <c r="G48" i="26"/>
  <c r="M47" i="26"/>
  <c r="L47" i="26"/>
  <c r="K47" i="26"/>
  <c r="J47" i="26"/>
  <c r="I47" i="26"/>
  <c r="H47" i="26"/>
  <c r="G47" i="26"/>
  <c r="M46" i="26"/>
  <c r="L46" i="26"/>
  <c r="K46" i="26"/>
  <c r="J46" i="26"/>
  <c r="I46" i="26"/>
  <c r="H46" i="26"/>
  <c r="G46" i="26"/>
  <c r="M45" i="26"/>
  <c r="L45" i="26"/>
  <c r="K45" i="26"/>
  <c r="J45" i="26"/>
  <c r="I45" i="26"/>
  <c r="H45" i="26"/>
  <c r="G45" i="26"/>
  <c r="M44" i="26"/>
  <c r="L44" i="26"/>
  <c r="K44" i="26"/>
  <c r="J44" i="26"/>
  <c r="I44" i="26"/>
  <c r="H44" i="26"/>
  <c r="G44" i="26"/>
  <c r="M43" i="26"/>
  <c r="L43" i="26"/>
  <c r="K43" i="26"/>
  <c r="J43" i="26"/>
  <c r="I43" i="26"/>
  <c r="H43" i="26"/>
  <c r="G43" i="26"/>
  <c r="M42" i="26"/>
  <c r="L42" i="26"/>
  <c r="K42" i="26"/>
  <c r="J42" i="26"/>
  <c r="I42" i="26"/>
  <c r="H42" i="26"/>
  <c r="G42" i="26"/>
  <c r="M41" i="26"/>
  <c r="L41" i="26"/>
  <c r="K41" i="26"/>
  <c r="J41" i="26"/>
  <c r="I41" i="26"/>
  <c r="H41" i="26"/>
  <c r="G41" i="26"/>
  <c r="M40" i="26"/>
  <c r="L40" i="26"/>
  <c r="K40" i="26"/>
  <c r="J40" i="26"/>
  <c r="I40" i="26"/>
  <c r="H40" i="26"/>
  <c r="G40" i="26"/>
  <c r="M39" i="26"/>
  <c r="L39" i="26"/>
  <c r="K39" i="26"/>
  <c r="J39" i="26"/>
  <c r="I39" i="26"/>
  <c r="H39" i="26"/>
  <c r="G39" i="26"/>
  <c r="M38" i="26"/>
  <c r="L38" i="26"/>
  <c r="K38" i="26"/>
  <c r="J38" i="26"/>
  <c r="I38" i="26"/>
  <c r="H38" i="26"/>
  <c r="G38" i="26"/>
  <c r="M37" i="26"/>
  <c r="L37" i="26"/>
  <c r="K37" i="26"/>
  <c r="J37" i="26"/>
  <c r="I37" i="26"/>
  <c r="H37" i="26"/>
  <c r="G37" i="26"/>
  <c r="L36" i="26"/>
  <c r="K36" i="26"/>
  <c r="J36" i="26"/>
  <c r="I36" i="26"/>
  <c r="H36" i="26"/>
  <c r="G36" i="26"/>
  <c r="L35" i="26"/>
  <c r="K35" i="26"/>
  <c r="J35" i="26"/>
  <c r="I35" i="26"/>
  <c r="H35" i="26"/>
  <c r="G35" i="26"/>
  <c r="A31" i="26"/>
  <c r="L27" i="26"/>
  <c r="K27" i="26"/>
  <c r="J27" i="26"/>
  <c r="I27" i="26"/>
  <c r="H27" i="26"/>
  <c r="G27" i="26"/>
  <c r="L26" i="26"/>
  <c r="K26" i="26"/>
  <c r="J26" i="26"/>
  <c r="I26" i="26"/>
  <c r="H26" i="26"/>
  <c r="G26" i="26"/>
  <c r="L25" i="26"/>
  <c r="K25" i="26"/>
  <c r="J25" i="26"/>
  <c r="I25" i="26"/>
  <c r="H25" i="26"/>
  <c r="G25" i="26"/>
  <c r="L24" i="26"/>
  <c r="K24" i="26"/>
  <c r="J24" i="26"/>
  <c r="I24" i="26"/>
  <c r="H24" i="26"/>
  <c r="G24" i="26"/>
  <c r="L23" i="26"/>
  <c r="K23" i="26"/>
  <c r="J23" i="26"/>
  <c r="I23" i="26"/>
  <c r="H23" i="26"/>
  <c r="G23" i="26"/>
  <c r="L22" i="26"/>
  <c r="K22" i="26"/>
  <c r="J22" i="26"/>
  <c r="I22" i="26"/>
  <c r="H22" i="26"/>
  <c r="G22" i="26"/>
  <c r="L21" i="26"/>
  <c r="K21" i="26"/>
  <c r="J21" i="26"/>
  <c r="I21" i="26"/>
  <c r="H21" i="26"/>
  <c r="G21" i="26"/>
  <c r="L20" i="26"/>
  <c r="K20" i="26"/>
  <c r="J20" i="26"/>
  <c r="I20" i="26"/>
  <c r="H20" i="26"/>
  <c r="G20" i="26"/>
  <c r="L19" i="26"/>
  <c r="K19" i="26"/>
  <c r="J19" i="26"/>
  <c r="I19" i="26"/>
  <c r="H19" i="26"/>
  <c r="G19" i="26"/>
  <c r="L18" i="26"/>
  <c r="K18" i="26"/>
  <c r="J18" i="26"/>
  <c r="I18" i="26"/>
  <c r="H18" i="26"/>
  <c r="G18" i="26"/>
  <c r="L17" i="26"/>
  <c r="K17" i="26"/>
  <c r="J17" i="26"/>
  <c r="I17" i="26"/>
  <c r="H17" i="26"/>
  <c r="G17" i="26"/>
  <c r="L16" i="26"/>
  <c r="K16" i="26"/>
  <c r="J16" i="26"/>
  <c r="I16" i="26"/>
  <c r="H16" i="26"/>
  <c r="G16" i="26"/>
  <c r="L15" i="26"/>
  <c r="K15" i="26"/>
  <c r="J15" i="26"/>
  <c r="I15" i="26"/>
  <c r="H15" i="26"/>
  <c r="G15" i="26"/>
  <c r="L14" i="26"/>
  <c r="K14" i="26"/>
  <c r="J14" i="26"/>
  <c r="I14" i="26"/>
  <c r="H14" i="26"/>
  <c r="G14" i="26"/>
  <c r="L13" i="26"/>
  <c r="K13" i="26"/>
  <c r="J13" i="26"/>
  <c r="I13" i="26"/>
  <c r="H13" i="26"/>
  <c r="G13" i="26"/>
  <c r="L12" i="26"/>
  <c r="K12" i="26"/>
  <c r="J12" i="26"/>
  <c r="I12" i="26"/>
  <c r="H12" i="26"/>
  <c r="G12" i="26"/>
  <c r="J11" i="26"/>
  <c r="I11" i="26"/>
  <c r="H11" i="26"/>
  <c r="G11" i="26"/>
  <c r="K10" i="26"/>
  <c r="L9" i="26"/>
  <c r="K9" i="26"/>
  <c r="J9" i="26"/>
  <c r="I9" i="26"/>
  <c r="H9" i="26"/>
  <c r="G9" i="26"/>
  <c r="L8" i="26"/>
  <c r="K8" i="26"/>
  <c r="J8" i="26"/>
  <c r="I8" i="26"/>
  <c r="H8" i="26"/>
  <c r="G8" i="26"/>
  <c r="L7" i="26"/>
  <c r="K7" i="26"/>
  <c r="J7" i="26"/>
  <c r="I7" i="26"/>
  <c r="H7" i="26"/>
  <c r="G7" i="26"/>
  <c r="L6" i="26"/>
  <c r="K6" i="26"/>
  <c r="J6" i="26"/>
  <c r="I6" i="26"/>
  <c r="H6" i="26"/>
  <c r="G6" i="26"/>
  <c r="L5" i="26"/>
  <c r="K5" i="26"/>
  <c r="J5" i="26"/>
  <c r="I5" i="26"/>
  <c r="H5" i="26"/>
  <c r="G5" i="26"/>
  <c r="M53" i="25"/>
  <c r="L53" i="25"/>
  <c r="K53" i="25"/>
  <c r="J53" i="25"/>
  <c r="I53" i="25"/>
  <c r="H53" i="25"/>
  <c r="G53" i="25"/>
  <c r="M52" i="25"/>
  <c r="L52" i="25"/>
  <c r="K52" i="25"/>
  <c r="J52" i="25"/>
  <c r="I52" i="25"/>
  <c r="H52" i="25"/>
  <c r="G52" i="25"/>
  <c r="M51" i="25"/>
  <c r="L51" i="25"/>
  <c r="K51" i="25"/>
  <c r="J51" i="25"/>
  <c r="I51" i="25"/>
  <c r="H51" i="25"/>
  <c r="G51" i="25"/>
  <c r="M50" i="25"/>
  <c r="L50" i="25"/>
  <c r="K50" i="25"/>
  <c r="J50" i="25"/>
  <c r="I50" i="25"/>
  <c r="H50" i="25"/>
  <c r="G50" i="25"/>
  <c r="M49" i="25"/>
  <c r="L49" i="25"/>
  <c r="K49" i="25"/>
  <c r="J49" i="25"/>
  <c r="I49" i="25"/>
  <c r="H49" i="25"/>
  <c r="G49" i="25"/>
  <c r="M48" i="25"/>
  <c r="L48" i="25"/>
  <c r="K48" i="25"/>
  <c r="J48" i="25"/>
  <c r="I48" i="25"/>
  <c r="H48" i="25"/>
  <c r="G48" i="25"/>
  <c r="M47" i="25"/>
  <c r="L47" i="25"/>
  <c r="K47" i="25"/>
  <c r="J47" i="25"/>
  <c r="I47" i="25"/>
  <c r="H47" i="25"/>
  <c r="G47" i="25"/>
  <c r="M46" i="25"/>
  <c r="L46" i="25"/>
  <c r="K46" i="25"/>
  <c r="J46" i="25"/>
  <c r="I46" i="25"/>
  <c r="H46" i="25"/>
  <c r="G46" i="25"/>
  <c r="M45" i="25"/>
  <c r="L45" i="25"/>
  <c r="K45" i="25"/>
  <c r="J45" i="25"/>
  <c r="I45" i="25"/>
  <c r="H45" i="25"/>
  <c r="G45" i="25"/>
  <c r="M44" i="25"/>
  <c r="L44" i="25"/>
  <c r="K44" i="25"/>
  <c r="J44" i="25"/>
  <c r="I44" i="25"/>
  <c r="H44" i="25"/>
  <c r="G44" i="25"/>
  <c r="M43" i="25"/>
  <c r="L43" i="25"/>
  <c r="K43" i="25"/>
  <c r="J43" i="25"/>
  <c r="I43" i="25"/>
  <c r="H43" i="25"/>
  <c r="G43" i="25"/>
  <c r="M42" i="25"/>
  <c r="L42" i="25"/>
  <c r="K42" i="25"/>
  <c r="J42" i="25"/>
  <c r="I42" i="25"/>
  <c r="H42" i="25"/>
  <c r="G42" i="25"/>
  <c r="M41" i="25"/>
  <c r="L41" i="25"/>
  <c r="K41" i="25"/>
  <c r="J41" i="25"/>
  <c r="I41" i="25"/>
  <c r="H41" i="25"/>
  <c r="G41" i="25"/>
  <c r="M40" i="25"/>
  <c r="L40" i="25"/>
  <c r="K40" i="25"/>
  <c r="J40" i="25"/>
  <c r="I40" i="25"/>
  <c r="H40" i="25"/>
  <c r="G40" i="25"/>
  <c r="M39" i="25"/>
  <c r="L39" i="25"/>
  <c r="K39" i="25"/>
  <c r="J39" i="25"/>
  <c r="I39" i="25"/>
  <c r="H39" i="25"/>
  <c r="G39" i="25"/>
  <c r="M38" i="25"/>
  <c r="L38" i="25"/>
  <c r="K38" i="25"/>
  <c r="J38" i="25"/>
  <c r="I38" i="25"/>
  <c r="H38" i="25"/>
  <c r="G38" i="25"/>
  <c r="M37" i="25"/>
  <c r="L37" i="25"/>
  <c r="K37" i="25"/>
  <c r="J37" i="25"/>
  <c r="I37" i="25"/>
  <c r="H37" i="25"/>
  <c r="G37" i="25"/>
  <c r="L36" i="25"/>
  <c r="K36" i="25"/>
  <c r="J36" i="25"/>
  <c r="I36" i="25"/>
  <c r="H36" i="25"/>
  <c r="G36" i="25"/>
  <c r="L35" i="25"/>
  <c r="K35" i="25"/>
  <c r="J35" i="25"/>
  <c r="I35" i="25"/>
  <c r="H35" i="25"/>
  <c r="G35" i="25"/>
  <c r="A31" i="25"/>
  <c r="L27" i="25"/>
  <c r="K27" i="25"/>
  <c r="J27" i="25"/>
  <c r="I27" i="25"/>
  <c r="H27" i="25"/>
  <c r="G27" i="25"/>
  <c r="L26" i="25"/>
  <c r="K26" i="25"/>
  <c r="J26" i="25"/>
  <c r="I26" i="25"/>
  <c r="H26" i="25"/>
  <c r="G26" i="25"/>
  <c r="L25" i="25"/>
  <c r="K25" i="25"/>
  <c r="J25" i="25"/>
  <c r="I25" i="25"/>
  <c r="H25" i="25"/>
  <c r="G25" i="25"/>
  <c r="L24" i="25"/>
  <c r="K24" i="25"/>
  <c r="J24" i="25"/>
  <c r="I24" i="25"/>
  <c r="H24" i="25"/>
  <c r="G24" i="25"/>
  <c r="L23" i="25"/>
  <c r="K23" i="25"/>
  <c r="J23" i="25"/>
  <c r="I23" i="25"/>
  <c r="H23" i="25"/>
  <c r="G23" i="25"/>
  <c r="L22" i="25"/>
  <c r="K22" i="25"/>
  <c r="J22" i="25"/>
  <c r="I22" i="25"/>
  <c r="H22" i="25"/>
  <c r="G22" i="25"/>
  <c r="L21" i="25"/>
  <c r="K21" i="25"/>
  <c r="J21" i="25"/>
  <c r="I21" i="25"/>
  <c r="H21" i="25"/>
  <c r="G21" i="25"/>
  <c r="L20" i="25"/>
  <c r="K20" i="25"/>
  <c r="J20" i="25"/>
  <c r="I20" i="25"/>
  <c r="H20" i="25"/>
  <c r="G20" i="25"/>
  <c r="L19" i="25"/>
  <c r="K19" i="25"/>
  <c r="J19" i="25"/>
  <c r="I19" i="25"/>
  <c r="H19" i="25"/>
  <c r="G19" i="25"/>
  <c r="L18" i="25"/>
  <c r="K18" i="25"/>
  <c r="J18" i="25"/>
  <c r="I18" i="25"/>
  <c r="H18" i="25"/>
  <c r="G18" i="25"/>
  <c r="L17" i="25"/>
  <c r="K17" i="25"/>
  <c r="J17" i="25"/>
  <c r="I17" i="25"/>
  <c r="H17" i="25"/>
  <c r="G17" i="25"/>
  <c r="L16" i="25"/>
  <c r="K16" i="25"/>
  <c r="J16" i="25"/>
  <c r="I16" i="25"/>
  <c r="H16" i="25"/>
  <c r="G16" i="25"/>
  <c r="L15" i="25"/>
  <c r="K15" i="25"/>
  <c r="J15" i="25"/>
  <c r="I15" i="25"/>
  <c r="H15" i="25"/>
  <c r="G15" i="25"/>
  <c r="L14" i="25"/>
  <c r="K14" i="25"/>
  <c r="J14" i="25"/>
  <c r="I14" i="25"/>
  <c r="H14" i="25"/>
  <c r="G14" i="25"/>
  <c r="L13" i="25"/>
  <c r="K13" i="25"/>
  <c r="J13" i="25"/>
  <c r="I13" i="25"/>
  <c r="H13" i="25"/>
  <c r="G13" i="25"/>
  <c r="L12" i="25"/>
  <c r="K12" i="25"/>
  <c r="J12" i="25"/>
  <c r="I12" i="25"/>
  <c r="H12" i="25"/>
  <c r="G12" i="25"/>
  <c r="J11" i="25"/>
  <c r="I11" i="25"/>
  <c r="H11" i="25"/>
  <c r="G11" i="25"/>
  <c r="K10" i="25"/>
  <c r="L9" i="25"/>
  <c r="K9" i="25"/>
  <c r="J9" i="25"/>
  <c r="I9" i="25"/>
  <c r="H9" i="25"/>
  <c r="G9" i="25"/>
  <c r="L8" i="25"/>
  <c r="K8" i="25"/>
  <c r="J8" i="25"/>
  <c r="I8" i="25"/>
  <c r="H8" i="25"/>
  <c r="G8" i="25"/>
  <c r="L7" i="25"/>
  <c r="K7" i="25"/>
  <c r="J7" i="25"/>
  <c r="I7" i="25"/>
  <c r="H7" i="25"/>
  <c r="G7" i="25"/>
  <c r="L6" i="25"/>
  <c r="K6" i="25"/>
  <c r="J6" i="25"/>
  <c r="I6" i="25"/>
  <c r="H6" i="25"/>
  <c r="G6" i="25"/>
  <c r="L5" i="25"/>
  <c r="K5" i="25"/>
  <c r="J5" i="25"/>
  <c r="I5" i="25"/>
  <c r="H5" i="25"/>
  <c r="G5" i="25"/>
  <c r="M53" i="24"/>
  <c r="L53" i="24"/>
  <c r="K53" i="24"/>
  <c r="J53" i="24"/>
  <c r="I53" i="24"/>
  <c r="H53" i="24"/>
  <c r="G53" i="24"/>
  <c r="M52" i="24"/>
  <c r="L52" i="24"/>
  <c r="K52" i="24"/>
  <c r="J52" i="24"/>
  <c r="I52" i="24"/>
  <c r="H52" i="24"/>
  <c r="G52" i="24"/>
  <c r="M51" i="24"/>
  <c r="L51" i="24"/>
  <c r="K51" i="24"/>
  <c r="J51" i="24"/>
  <c r="I51" i="24"/>
  <c r="H51" i="24"/>
  <c r="G51" i="24"/>
  <c r="M50" i="24"/>
  <c r="L50" i="24"/>
  <c r="K50" i="24"/>
  <c r="J50" i="24"/>
  <c r="I50" i="24"/>
  <c r="H50" i="24"/>
  <c r="G50" i="24"/>
  <c r="M49" i="24"/>
  <c r="L49" i="24"/>
  <c r="K49" i="24"/>
  <c r="J49" i="24"/>
  <c r="I49" i="24"/>
  <c r="H49" i="24"/>
  <c r="G49" i="24"/>
  <c r="M48" i="24"/>
  <c r="L48" i="24"/>
  <c r="K48" i="24"/>
  <c r="J48" i="24"/>
  <c r="I48" i="24"/>
  <c r="H48" i="24"/>
  <c r="G48" i="24"/>
  <c r="M47" i="24"/>
  <c r="L47" i="24"/>
  <c r="K47" i="24"/>
  <c r="J47" i="24"/>
  <c r="I47" i="24"/>
  <c r="H47" i="24"/>
  <c r="G47" i="24"/>
  <c r="M46" i="24"/>
  <c r="L46" i="24"/>
  <c r="K46" i="24"/>
  <c r="J46" i="24"/>
  <c r="I46" i="24"/>
  <c r="H46" i="24"/>
  <c r="G46" i="24"/>
  <c r="M45" i="24"/>
  <c r="L45" i="24"/>
  <c r="K45" i="24"/>
  <c r="J45" i="24"/>
  <c r="I45" i="24"/>
  <c r="H45" i="24"/>
  <c r="G45" i="24"/>
  <c r="M44" i="24"/>
  <c r="L44" i="24"/>
  <c r="K44" i="24"/>
  <c r="J44" i="24"/>
  <c r="I44" i="24"/>
  <c r="H44" i="24"/>
  <c r="G44" i="24"/>
  <c r="M43" i="24"/>
  <c r="L43" i="24"/>
  <c r="K43" i="24"/>
  <c r="J43" i="24"/>
  <c r="I43" i="24"/>
  <c r="H43" i="24"/>
  <c r="G43" i="24"/>
  <c r="M42" i="24"/>
  <c r="L42" i="24"/>
  <c r="K42" i="24"/>
  <c r="J42" i="24"/>
  <c r="I42" i="24"/>
  <c r="H42" i="24"/>
  <c r="G42" i="24"/>
  <c r="M41" i="24"/>
  <c r="L41" i="24"/>
  <c r="K41" i="24"/>
  <c r="J41" i="24"/>
  <c r="I41" i="24"/>
  <c r="H41" i="24"/>
  <c r="G41" i="24"/>
  <c r="M40" i="24"/>
  <c r="L40" i="24"/>
  <c r="K40" i="24"/>
  <c r="J40" i="24"/>
  <c r="I40" i="24"/>
  <c r="H40" i="24"/>
  <c r="G40" i="24"/>
  <c r="M39" i="24"/>
  <c r="L39" i="24"/>
  <c r="K39" i="24"/>
  <c r="J39" i="24"/>
  <c r="I39" i="24"/>
  <c r="H39" i="24"/>
  <c r="G39" i="24"/>
  <c r="M38" i="24"/>
  <c r="L38" i="24"/>
  <c r="K38" i="24"/>
  <c r="J38" i="24"/>
  <c r="I38" i="24"/>
  <c r="H38" i="24"/>
  <c r="G38" i="24"/>
  <c r="M37" i="24"/>
  <c r="L37" i="24"/>
  <c r="K37" i="24"/>
  <c r="J37" i="24"/>
  <c r="I37" i="24"/>
  <c r="H37" i="24"/>
  <c r="G37" i="24"/>
  <c r="L36" i="24"/>
  <c r="K36" i="24"/>
  <c r="J36" i="24"/>
  <c r="I36" i="24"/>
  <c r="H36" i="24"/>
  <c r="G36" i="24"/>
  <c r="L35" i="24"/>
  <c r="K35" i="24"/>
  <c r="J35" i="24"/>
  <c r="I35" i="24"/>
  <c r="H35" i="24"/>
  <c r="G35" i="24"/>
  <c r="A31" i="24"/>
  <c r="L27" i="24"/>
  <c r="K27" i="24"/>
  <c r="J27" i="24"/>
  <c r="I27" i="24"/>
  <c r="H27" i="24"/>
  <c r="G27" i="24"/>
  <c r="L26" i="24"/>
  <c r="K26" i="24"/>
  <c r="J26" i="24"/>
  <c r="I26" i="24"/>
  <c r="H26" i="24"/>
  <c r="G26" i="24"/>
  <c r="L25" i="24"/>
  <c r="K25" i="24"/>
  <c r="J25" i="24"/>
  <c r="I25" i="24"/>
  <c r="H25" i="24"/>
  <c r="G25" i="24"/>
  <c r="L24" i="24"/>
  <c r="K24" i="24"/>
  <c r="J24" i="24"/>
  <c r="I24" i="24"/>
  <c r="H24" i="24"/>
  <c r="G24" i="24"/>
  <c r="L23" i="24"/>
  <c r="K23" i="24"/>
  <c r="J23" i="24"/>
  <c r="I23" i="24"/>
  <c r="H23" i="24"/>
  <c r="G23" i="24"/>
  <c r="L22" i="24"/>
  <c r="K22" i="24"/>
  <c r="J22" i="24"/>
  <c r="I22" i="24"/>
  <c r="H22" i="24"/>
  <c r="G22" i="24"/>
  <c r="L21" i="24"/>
  <c r="K21" i="24"/>
  <c r="J21" i="24"/>
  <c r="I21" i="24"/>
  <c r="H21" i="24"/>
  <c r="G21" i="24"/>
  <c r="L20" i="24"/>
  <c r="K20" i="24"/>
  <c r="J20" i="24"/>
  <c r="I20" i="24"/>
  <c r="H20" i="24"/>
  <c r="G20" i="24"/>
  <c r="L19" i="24"/>
  <c r="K19" i="24"/>
  <c r="J19" i="24"/>
  <c r="I19" i="24"/>
  <c r="H19" i="24"/>
  <c r="G19" i="24"/>
  <c r="L18" i="24"/>
  <c r="K18" i="24"/>
  <c r="J18" i="24"/>
  <c r="I18" i="24"/>
  <c r="H18" i="24"/>
  <c r="G18" i="24"/>
  <c r="L17" i="24"/>
  <c r="K17" i="24"/>
  <c r="J17" i="24"/>
  <c r="I17" i="24"/>
  <c r="H17" i="24"/>
  <c r="G17" i="24"/>
  <c r="L16" i="24"/>
  <c r="K16" i="24"/>
  <c r="J16" i="24"/>
  <c r="I16" i="24"/>
  <c r="H16" i="24"/>
  <c r="G16" i="24"/>
  <c r="L15" i="24"/>
  <c r="K15" i="24"/>
  <c r="J15" i="24"/>
  <c r="I15" i="24"/>
  <c r="H15" i="24"/>
  <c r="G15" i="24"/>
  <c r="L14" i="24"/>
  <c r="K14" i="24"/>
  <c r="J14" i="24"/>
  <c r="I14" i="24"/>
  <c r="H14" i="24"/>
  <c r="G14" i="24"/>
  <c r="L13" i="24"/>
  <c r="K13" i="24"/>
  <c r="J13" i="24"/>
  <c r="I13" i="24"/>
  <c r="H13" i="24"/>
  <c r="G13" i="24"/>
  <c r="L12" i="24"/>
  <c r="K12" i="24"/>
  <c r="J12" i="24"/>
  <c r="I12" i="24"/>
  <c r="H12" i="24"/>
  <c r="G12" i="24"/>
  <c r="J11" i="24"/>
  <c r="I11" i="24"/>
  <c r="H11" i="24"/>
  <c r="G11" i="24"/>
  <c r="K10" i="24"/>
  <c r="L9" i="24"/>
  <c r="K9" i="24"/>
  <c r="J9" i="24"/>
  <c r="I9" i="24"/>
  <c r="H9" i="24"/>
  <c r="G9" i="24"/>
  <c r="L8" i="24"/>
  <c r="K8" i="24"/>
  <c r="J8" i="24"/>
  <c r="I8" i="24"/>
  <c r="H8" i="24"/>
  <c r="G8" i="24"/>
  <c r="L7" i="24"/>
  <c r="K7" i="24"/>
  <c r="J7" i="24"/>
  <c r="I7" i="24"/>
  <c r="H7" i="24"/>
  <c r="G7" i="24"/>
  <c r="L6" i="24"/>
  <c r="K6" i="24"/>
  <c r="J6" i="24"/>
  <c r="I6" i="24"/>
  <c r="H6" i="24"/>
  <c r="G6" i="24"/>
  <c r="L5" i="24"/>
  <c r="K5" i="24"/>
  <c r="J5" i="24"/>
  <c r="I5" i="24"/>
  <c r="H5" i="24"/>
  <c r="G5" i="24"/>
  <c r="M53" i="23"/>
  <c r="L53" i="23"/>
  <c r="K53" i="23"/>
  <c r="J53" i="23"/>
  <c r="I53" i="23"/>
  <c r="H53" i="23"/>
  <c r="G53" i="23"/>
  <c r="M52" i="23"/>
  <c r="L52" i="23"/>
  <c r="K52" i="23"/>
  <c r="J52" i="23"/>
  <c r="I52" i="23"/>
  <c r="H52" i="23"/>
  <c r="G52" i="23"/>
  <c r="M51" i="23"/>
  <c r="L51" i="23"/>
  <c r="K51" i="23"/>
  <c r="J51" i="23"/>
  <c r="I51" i="23"/>
  <c r="H51" i="23"/>
  <c r="G51" i="23"/>
  <c r="M50" i="23"/>
  <c r="L50" i="23"/>
  <c r="K50" i="23"/>
  <c r="J50" i="23"/>
  <c r="I50" i="23"/>
  <c r="H50" i="23"/>
  <c r="G50" i="23"/>
  <c r="M49" i="23"/>
  <c r="L49" i="23"/>
  <c r="K49" i="23"/>
  <c r="J49" i="23"/>
  <c r="I49" i="23"/>
  <c r="H49" i="23"/>
  <c r="G49" i="23"/>
  <c r="M48" i="23"/>
  <c r="L48" i="23"/>
  <c r="K48" i="23"/>
  <c r="J48" i="23"/>
  <c r="I48" i="23"/>
  <c r="H48" i="23"/>
  <c r="G48" i="23"/>
  <c r="M47" i="23"/>
  <c r="L47" i="23"/>
  <c r="K47" i="23"/>
  <c r="J47" i="23"/>
  <c r="I47" i="23"/>
  <c r="H47" i="23"/>
  <c r="G47" i="23"/>
  <c r="M46" i="23"/>
  <c r="L46" i="23"/>
  <c r="K46" i="23"/>
  <c r="J46" i="23"/>
  <c r="I46" i="23"/>
  <c r="H46" i="23"/>
  <c r="G46" i="23"/>
  <c r="M45" i="23"/>
  <c r="L45" i="23"/>
  <c r="K45" i="23"/>
  <c r="J45" i="23"/>
  <c r="I45" i="23"/>
  <c r="H45" i="23"/>
  <c r="G45" i="23"/>
  <c r="M44" i="23"/>
  <c r="L44" i="23"/>
  <c r="K44" i="23"/>
  <c r="J44" i="23"/>
  <c r="I44" i="23"/>
  <c r="H44" i="23"/>
  <c r="G44" i="23"/>
  <c r="M43" i="23"/>
  <c r="L43" i="23"/>
  <c r="K43" i="23"/>
  <c r="J43" i="23"/>
  <c r="I43" i="23"/>
  <c r="H43" i="23"/>
  <c r="G43" i="23"/>
  <c r="M42" i="23"/>
  <c r="L42" i="23"/>
  <c r="K42" i="23"/>
  <c r="J42" i="23"/>
  <c r="I42" i="23"/>
  <c r="H42" i="23"/>
  <c r="G42" i="23"/>
  <c r="M41" i="23"/>
  <c r="L41" i="23"/>
  <c r="K41" i="23"/>
  <c r="J41" i="23"/>
  <c r="I41" i="23"/>
  <c r="H41" i="23"/>
  <c r="G41" i="23"/>
  <c r="M40" i="23"/>
  <c r="L40" i="23"/>
  <c r="K40" i="23"/>
  <c r="J40" i="23"/>
  <c r="I40" i="23"/>
  <c r="H40" i="23"/>
  <c r="G40" i="23"/>
  <c r="M39" i="23"/>
  <c r="L39" i="23"/>
  <c r="K39" i="23"/>
  <c r="J39" i="23"/>
  <c r="I39" i="23"/>
  <c r="H39" i="23"/>
  <c r="G39" i="23"/>
  <c r="M38" i="23"/>
  <c r="L38" i="23"/>
  <c r="K38" i="23"/>
  <c r="J38" i="23"/>
  <c r="I38" i="23"/>
  <c r="H38" i="23"/>
  <c r="G38" i="23"/>
  <c r="M37" i="23"/>
  <c r="L37" i="23"/>
  <c r="K37" i="23"/>
  <c r="J37" i="23"/>
  <c r="I37" i="23"/>
  <c r="H37" i="23"/>
  <c r="G37" i="23"/>
  <c r="L36" i="23"/>
  <c r="K36" i="23"/>
  <c r="J36" i="23"/>
  <c r="I36" i="23"/>
  <c r="H36" i="23"/>
  <c r="G36" i="23"/>
  <c r="L35" i="23"/>
  <c r="K35" i="23"/>
  <c r="J35" i="23"/>
  <c r="I35" i="23"/>
  <c r="H35" i="23"/>
  <c r="G35" i="23"/>
  <c r="A31" i="23"/>
  <c r="L27" i="23"/>
  <c r="K27" i="23"/>
  <c r="J27" i="23"/>
  <c r="I27" i="23"/>
  <c r="H27" i="23"/>
  <c r="G27" i="23"/>
  <c r="L26" i="23"/>
  <c r="K26" i="23"/>
  <c r="J26" i="23"/>
  <c r="I26" i="23"/>
  <c r="H26" i="23"/>
  <c r="G26" i="23"/>
  <c r="L25" i="23"/>
  <c r="K25" i="23"/>
  <c r="J25" i="23"/>
  <c r="I25" i="23"/>
  <c r="H25" i="23"/>
  <c r="G25" i="23"/>
  <c r="L24" i="23"/>
  <c r="K24" i="23"/>
  <c r="J24" i="23"/>
  <c r="I24" i="23"/>
  <c r="H24" i="23"/>
  <c r="G24" i="23"/>
  <c r="L23" i="23"/>
  <c r="K23" i="23"/>
  <c r="J23" i="23"/>
  <c r="I23" i="23"/>
  <c r="H23" i="23"/>
  <c r="G23" i="23"/>
  <c r="L22" i="23"/>
  <c r="K22" i="23"/>
  <c r="J22" i="23"/>
  <c r="I22" i="23"/>
  <c r="H22" i="23"/>
  <c r="G22" i="23"/>
  <c r="L21" i="23"/>
  <c r="K21" i="23"/>
  <c r="J21" i="23"/>
  <c r="I21" i="23"/>
  <c r="H21" i="23"/>
  <c r="G21" i="23"/>
  <c r="L20" i="23"/>
  <c r="K20" i="23"/>
  <c r="J20" i="23"/>
  <c r="I20" i="23"/>
  <c r="H20" i="23"/>
  <c r="G20" i="23"/>
  <c r="L19" i="23"/>
  <c r="K19" i="23"/>
  <c r="J19" i="23"/>
  <c r="I19" i="23"/>
  <c r="H19" i="23"/>
  <c r="G19" i="23"/>
  <c r="L18" i="23"/>
  <c r="K18" i="23"/>
  <c r="J18" i="23"/>
  <c r="I18" i="23"/>
  <c r="H18" i="23"/>
  <c r="G18" i="23"/>
  <c r="L17" i="23"/>
  <c r="K17" i="23"/>
  <c r="J17" i="23"/>
  <c r="I17" i="23"/>
  <c r="H17" i="23"/>
  <c r="G17" i="23"/>
  <c r="L16" i="23"/>
  <c r="K16" i="23"/>
  <c r="J16" i="23"/>
  <c r="I16" i="23"/>
  <c r="H16" i="23"/>
  <c r="G16" i="23"/>
  <c r="L15" i="23"/>
  <c r="K15" i="23"/>
  <c r="J15" i="23"/>
  <c r="I15" i="23"/>
  <c r="H15" i="23"/>
  <c r="G15" i="23"/>
  <c r="L14" i="23"/>
  <c r="K14" i="23"/>
  <c r="J14" i="23"/>
  <c r="I14" i="23"/>
  <c r="H14" i="23"/>
  <c r="G14" i="23"/>
  <c r="L13" i="23"/>
  <c r="K13" i="23"/>
  <c r="J13" i="23"/>
  <c r="I13" i="23"/>
  <c r="H13" i="23"/>
  <c r="G13" i="23"/>
  <c r="L12" i="23"/>
  <c r="K12" i="23"/>
  <c r="J12" i="23"/>
  <c r="I12" i="23"/>
  <c r="H12" i="23"/>
  <c r="G12" i="23"/>
  <c r="J11" i="23"/>
  <c r="I11" i="23"/>
  <c r="H11" i="23"/>
  <c r="G11" i="23"/>
  <c r="K10" i="23"/>
  <c r="L9" i="23"/>
  <c r="K9" i="23"/>
  <c r="J9" i="23"/>
  <c r="I9" i="23"/>
  <c r="H9" i="23"/>
  <c r="G9" i="23"/>
  <c r="L8" i="23"/>
  <c r="K8" i="23"/>
  <c r="J8" i="23"/>
  <c r="I8" i="23"/>
  <c r="H8" i="23"/>
  <c r="G8" i="23"/>
  <c r="L7" i="23"/>
  <c r="K7" i="23"/>
  <c r="J7" i="23"/>
  <c r="I7" i="23"/>
  <c r="H7" i="23"/>
  <c r="G7" i="23"/>
  <c r="L6" i="23"/>
  <c r="K6" i="23"/>
  <c r="J6" i="23"/>
  <c r="I6" i="23"/>
  <c r="H6" i="23"/>
  <c r="G6" i="23"/>
  <c r="L5" i="23"/>
  <c r="K5" i="23"/>
  <c r="J5" i="23"/>
  <c r="I5" i="23"/>
  <c r="H5" i="23"/>
  <c r="G5" i="23"/>
  <c r="M53" i="22"/>
  <c r="L53" i="22"/>
  <c r="K53" i="22"/>
  <c r="J53" i="22"/>
  <c r="I53" i="22"/>
  <c r="H53" i="22"/>
  <c r="G53" i="22"/>
  <c r="M52" i="22"/>
  <c r="L52" i="22"/>
  <c r="K52" i="22"/>
  <c r="J52" i="22"/>
  <c r="I52" i="22"/>
  <c r="H52" i="22"/>
  <c r="G52" i="22"/>
  <c r="M51" i="22"/>
  <c r="L51" i="22"/>
  <c r="K51" i="22"/>
  <c r="J51" i="22"/>
  <c r="I51" i="22"/>
  <c r="H51" i="22"/>
  <c r="G51" i="22"/>
  <c r="M50" i="22"/>
  <c r="L50" i="22"/>
  <c r="K50" i="22"/>
  <c r="J50" i="22"/>
  <c r="I50" i="22"/>
  <c r="H50" i="22"/>
  <c r="G50" i="22"/>
  <c r="M49" i="22"/>
  <c r="L49" i="22"/>
  <c r="K49" i="22"/>
  <c r="J49" i="22"/>
  <c r="I49" i="22"/>
  <c r="H49" i="22"/>
  <c r="G49" i="22"/>
  <c r="M48" i="22"/>
  <c r="L48" i="22"/>
  <c r="K48" i="22"/>
  <c r="J48" i="22"/>
  <c r="I48" i="22"/>
  <c r="H48" i="22"/>
  <c r="G48" i="22"/>
  <c r="M47" i="22"/>
  <c r="L47" i="22"/>
  <c r="K47" i="22"/>
  <c r="J47" i="22"/>
  <c r="I47" i="22"/>
  <c r="H47" i="22"/>
  <c r="G47" i="22"/>
  <c r="M46" i="22"/>
  <c r="L46" i="22"/>
  <c r="K46" i="22"/>
  <c r="J46" i="22"/>
  <c r="I46" i="22"/>
  <c r="H46" i="22"/>
  <c r="G46" i="22"/>
  <c r="M45" i="22"/>
  <c r="L45" i="22"/>
  <c r="K45" i="22"/>
  <c r="J45" i="22"/>
  <c r="I45" i="22"/>
  <c r="H45" i="22"/>
  <c r="G45" i="22"/>
  <c r="M44" i="22"/>
  <c r="L44" i="22"/>
  <c r="K44" i="22"/>
  <c r="J44" i="22"/>
  <c r="I44" i="22"/>
  <c r="H44" i="22"/>
  <c r="G44" i="22"/>
  <c r="M43" i="22"/>
  <c r="L43" i="22"/>
  <c r="K43" i="22"/>
  <c r="J43" i="22"/>
  <c r="I43" i="22"/>
  <c r="H43" i="22"/>
  <c r="G43" i="22"/>
  <c r="M42" i="22"/>
  <c r="L42" i="22"/>
  <c r="K42" i="22"/>
  <c r="J42" i="22"/>
  <c r="I42" i="22"/>
  <c r="H42" i="22"/>
  <c r="G42" i="22"/>
  <c r="M41" i="22"/>
  <c r="L41" i="22"/>
  <c r="K41" i="22"/>
  <c r="J41" i="22"/>
  <c r="I41" i="22"/>
  <c r="H41" i="22"/>
  <c r="G41" i="22"/>
  <c r="M40" i="22"/>
  <c r="L40" i="22"/>
  <c r="K40" i="22"/>
  <c r="J40" i="22"/>
  <c r="I40" i="22"/>
  <c r="H40" i="22"/>
  <c r="G40" i="22"/>
  <c r="M39" i="22"/>
  <c r="L39" i="22"/>
  <c r="K39" i="22"/>
  <c r="J39" i="22"/>
  <c r="I39" i="22"/>
  <c r="H39" i="22"/>
  <c r="G39" i="22"/>
  <c r="M38" i="22"/>
  <c r="L38" i="22"/>
  <c r="K38" i="22"/>
  <c r="J38" i="22"/>
  <c r="I38" i="22"/>
  <c r="H38" i="22"/>
  <c r="G38" i="22"/>
  <c r="M37" i="22"/>
  <c r="L37" i="22"/>
  <c r="K37" i="22"/>
  <c r="J37" i="22"/>
  <c r="I37" i="22"/>
  <c r="H37" i="22"/>
  <c r="G37" i="22"/>
  <c r="L36" i="22"/>
  <c r="K36" i="22"/>
  <c r="J36" i="22"/>
  <c r="I36" i="22"/>
  <c r="H36" i="22"/>
  <c r="G36" i="22"/>
  <c r="L35" i="22"/>
  <c r="K35" i="22"/>
  <c r="J35" i="22"/>
  <c r="I35" i="22"/>
  <c r="H35" i="22"/>
  <c r="G35" i="22"/>
  <c r="A31" i="22"/>
  <c r="L27" i="22"/>
  <c r="K27" i="22"/>
  <c r="J27" i="22"/>
  <c r="I27" i="22"/>
  <c r="H27" i="22"/>
  <c r="G27" i="22"/>
  <c r="L26" i="22"/>
  <c r="K26" i="22"/>
  <c r="J26" i="22"/>
  <c r="I26" i="22"/>
  <c r="H26" i="22"/>
  <c r="G26" i="22"/>
  <c r="L25" i="22"/>
  <c r="K25" i="22"/>
  <c r="J25" i="22"/>
  <c r="I25" i="22"/>
  <c r="H25" i="22"/>
  <c r="G25" i="22"/>
  <c r="L24" i="22"/>
  <c r="K24" i="22"/>
  <c r="J24" i="22"/>
  <c r="I24" i="22"/>
  <c r="H24" i="22"/>
  <c r="G24" i="22"/>
  <c r="L23" i="22"/>
  <c r="K23" i="22"/>
  <c r="J23" i="22"/>
  <c r="I23" i="22"/>
  <c r="H23" i="22"/>
  <c r="G23" i="22"/>
  <c r="L22" i="22"/>
  <c r="K22" i="22"/>
  <c r="J22" i="22"/>
  <c r="I22" i="22"/>
  <c r="H22" i="22"/>
  <c r="G22" i="22"/>
  <c r="L21" i="22"/>
  <c r="K21" i="22"/>
  <c r="J21" i="22"/>
  <c r="I21" i="22"/>
  <c r="H21" i="22"/>
  <c r="G21" i="22"/>
  <c r="L20" i="22"/>
  <c r="K20" i="22"/>
  <c r="J20" i="22"/>
  <c r="I20" i="22"/>
  <c r="H20" i="22"/>
  <c r="G20" i="22"/>
  <c r="L19" i="22"/>
  <c r="K19" i="22"/>
  <c r="J19" i="22"/>
  <c r="I19" i="22"/>
  <c r="H19" i="22"/>
  <c r="G19" i="22"/>
  <c r="L18" i="22"/>
  <c r="K18" i="22"/>
  <c r="J18" i="22"/>
  <c r="I18" i="22"/>
  <c r="H18" i="22"/>
  <c r="G18" i="22"/>
  <c r="L17" i="22"/>
  <c r="K17" i="22"/>
  <c r="J17" i="22"/>
  <c r="I17" i="22"/>
  <c r="H17" i="22"/>
  <c r="G17" i="22"/>
  <c r="L16" i="22"/>
  <c r="K16" i="22"/>
  <c r="J16" i="22"/>
  <c r="I16" i="22"/>
  <c r="H16" i="22"/>
  <c r="G16" i="22"/>
  <c r="L15" i="22"/>
  <c r="K15" i="22"/>
  <c r="J15" i="22"/>
  <c r="I15" i="22"/>
  <c r="H15" i="22"/>
  <c r="G15" i="22"/>
  <c r="L14" i="22"/>
  <c r="K14" i="22"/>
  <c r="J14" i="22"/>
  <c r="I14" i="22"/>
  <c r="H14" i="22"/>
  <c r="G14" i="22"/>
  <c r="L13" i="22"/>
  <c r="K13" i="22"/>
  <c r="J13" i="22"/>
  <c r="I13" i="22"/>
  <c r="H13" i="22"/>
  <c r="G13" i="22"/>
  <c r="L12" i="22"/>
  <c r="K12" i="22"/>
  <c r="J12" i="22"/>
  <c r="I12" i="22"/>
  <c r="H12" i="22"/>
  <c r="G12" i="22"/>
  <c r="J11" i="22"/>
  <c r="I11" i="22"/>
  <c r="H11" i="22"/>
  <c r="G11" i="22"/>
  <c r="K10" i="22"/>
  <c r="L9" i="22"/>
  <c r="K9" i="22"/>
  <c r="J9" i="22"/>
  <c r="I9" i="22"/>
  <c r="H9" i="22"/>
  <c r="G9" i="22"/>
  <c r="L8" i="22"/>
  <c r="K8" i="22"/>
  <c r="J8" i="22"/>
  <c r="I8" i="22"/>
  <c r="H8" i="22"/>
  <c r="G8" i="22"/>
  <c r="L7" i="22"/>
  <c r="K7" i="22"/>
  <c r="J7" i="22"/>
  <c r="I7" i="22"/>
  <c r="H7" i="22"/>
  <c r="G7" i="22"/>
  <c r="L6" i="22"/>
  <c r="K6" i="22"/>
  <c r="J6" i="22"/>
  <c r="I6" i="22"/>
  <c r="H6" i="22"/>
  <c r="G6" i="22"/>
  <c r="L5" i="22"/>
  <c r="K5" i="22"/>
  <c r="J5" i="22"/>
  <c r="I5" i="22"/>
  <c r="H5" i="22"/>
  <c r="G5" i="22"/>
  <c r="M53" i="21"/>
  <c r="L53" i="21"/>
  <c r="K53" i="21"/>
  <c r="J53" i="21"/>
  <c r="I53" i="21"/>
  <c r="H53" i="21"/>
  <c r="G53" i="21"/>
  <c r="M52" i="21"/>
  <c r="L52" i="21"/>
  <c r="K52" i="21"/>
  <c r="J52" i="21"/>
  <c r="I52" i="21"/>
  <c r="H52" i="21"/>
  <c r="G52" i="21"/>
  <c r="M51" i="21"/>
  <c r="L51" i="21"/>
  <c r="K51" i="21"/>
  <c r="J51" i="21"/>
  <c r="I51" i="21"/>
  <c r="H51" i="21"/>
  <c r="G51" i="21"/>
  <c r="M50" i="21"/>
  <c r="L50" i="21"/>
  <c r="K50" i="21"/>
  <c r="J50" i="21"/>
  <c r="I50" i="21"/>
  <c r="H50" i="21"/>
  <c r="G50" i="21"/>
  <c r="M49" i="21"/>
  <c r="L49" i="21"/>
  <c r="K49" i="21"/>
  <c r="J49" i="21"/>
  <c r="I49" i="21"/>
  <c r="H49" i="21"/>
  <c r="G49" i="21"/>
  <c r="M48" i="21"/>
  <c r="L48" i="21"/>
  <c r="K48" i="21"/>
  <c r="J48" i="21"/>
  <c r="I48" i="21"/>
  <c r="H48" i="21"/>
  <c r="G48" i="21"/>
  <c r="M47" i="21"/>
  <c r="L47" i="21"/>
  <c r="K47" i="21"/>
  <c r="J47" i="21"/>
  <c r="I47" i="21"/>
  <c r="H47" i="21"/>
  <c r="G47" i="21"/>
  <c r="M46" i="21"/>
  <c r="L46" i="21"/>
  <c r="K46" i="21"/>
  <c r="J46" i="21"/>
  <c r="I46" i="21"/>
  <c r="H46" i="21"/>
  <c r="G46" i="21"/>
  <c r="M45" i="21"/>
  <c r="L45" i="21"/>
  <c r="K45" i="21"/>
  <c r="J45" i="21"/>
  <c r="I45" i="21"/>
  <c r="H45" i="21"/>
  <c r="G45" i="21"/>
  <c r="M44" i="21"/>
  <c r="L44" i="21"/>
  <c r="K44" i="21"/>
  <c r="J44" i="21"/>
  <c r="I44" i="21"/>
  <c r="H44" i="21"/>
  <c r="G44" i="21"/>
  <c r="M43" i="21"/>
  <c r="L43" i="21"/>
  <c r="K43" i="21"/>
  <c r="J43" i="21"/>
  <c r="I43" i="21"/>
  <c r="H43" i="21"/>
  <c r="G43" i="21"/>
  <c r="M42" i="21"/>
  <c r="L42" i="21"/>
  <c r="K42" i="21"/>
  <c r="J42" i="21"/>
  <c r="I42" i="21"/>
  <c r="H42" i="21"/>
  <c r="G42" i="21"/>
  <c r="M41" i="21"/>
  <c r="L41" i="21"/>
  <c r="K41" i="21"/>
  <c r="J41" i="21"/>
  <c r="I41" i="21"/>
  <c r="H41" i="21"/>
  <c r="G41" i="21"/>
  <c r="M40" i="21"/>
  <c r="L40" i="21"/>
  <c r="K40" i="21"/>
  <c r="J40" i="21"/>
  <c r="I40" i="21"/>
  <c r="H40" i="21"/>
  <c r="G40" i="21"/>
  <c r="M39" i="21"/>
  <c r="L39" i="21"/>
  <c r="K39" i="21"/>
  <c r="J39" i="21"/>
  <c r="I39" i="21"/>
  <c r="H39" i="21"/>
  <c r="G39" i="21"/>
  <c r="M38" i="21"/>
  <c r="L38" i="21"/>
  <c r="K38" i="21"/>
  <c r="J38" i="21"/>
  <c r="I38" i="21"/>
  <c r="H38" i="21"/>
  <c r="G38" i="21"/>
  <c r="M37" i="21"/>
  <c r="L37" i="21"/>
  <c r="K37" i="21"/>
  <c r="J37" i="21"/>
  <c r="I37" i="21"/>
  <c r="H37" i="21"/>
  <c r="G37" i="21"/>
  <c r="L36" i="21"/>
  <c r="K36" i="21"/>
  <c r="J36" i="21"/>
  <c r="I36" i="21"/>
  <c r="H36" i="21"/>
  <c r="G36" i="21"/>
  <c r="L35" i="21"/>
  <c r="K35" i="21"/>
  <c r="J35" i="21"/>
  <c r="I35" i="21"/>
  <c r="H35" i="21"/>
  <c r="G35" i="21"/>
  <c r="A31" i="21"/>
  <c r="L27" i="21"/>
  <c r="K27" i="21"/>
  <c r="J27" i="21"/>
  <c r="I27" i="21"/>
  <c r="H27" i="21"/>
  <c r="G27" i="21"/>
  <c r="L26" i="21"/>
  <c r="K26" i="21"/>
  <c r="J26" i="21"/>
  <c r="I26" i="21"/>
  <c r="H26" i="21"/>
  <c r="G26" i="21"/>
  <c r="L25" i="21"/>
  <c r="K25" i="21"/>
  <c r="J25" i="21"/>
  <c r="I25" i="21"/>
  <c r="H25" i="21"/>
  <c r="G25" i="21"/>
  <c r="L24" i="21"/>
  <c r="K24" i="21"/>
  <c r="J24" i="21"/>
  <c r="I24" i="21"/>
  <c r="H24" i="21"/>
  <c r="G24" i="21"/>
  <c r="L23" i="21"/>
  <c r="K23" i="21"/>
  <c r="J23" i="21"/>
  <c r="I23" i="21"/>
  <c r="H23" i="21"/>
  <c r="G23" i="21"/>
  <c r="L22" i="21"/>
  <c r="K22" i="21"/>
  <c r="J22" i="21"/>
  <c r="I22" i="21"/>
  <c r="H22" i="21"/>
  <c r="G22" i="21"/>
  <c r="L21" i="21"/>
  <c r="K21" i="21"/>
  <c r="J21" i="21"/>
  <c r="I21" i="21"/>
  <c r="H21" i="21"/>
  <c r="G21" i="21"/>
  <c r="L20" i="21"/>
  <c r="K20" i="21"/>
  <c r="J20" i="21"/>
  <c r="I20" i="21"/>
  <c r="H20" i="21"/>
  <c r="G20" i="21"/>
  <c r="L19" i="21"/>
  <c r="K19" i="21"/>
  <c r="J19" i="21"/>
  <c r="I19" i="21"/>
  <c r="H19" i="21"/>
  <c r="G19" i="21"/>
  <c r="L18" i="21"/>
  <c r="K18" i="21"/>
  <c r="J18" i="21"/>
  <c r="I18" i="21"/>
  <c r="H18" i="21"/>
  <c r="G18" i="21"/>
  <c r="L17" i="21"/>
  <c r="K17" i="21"/>
  <c r="J17" i="21"/>
  <c r="I17" i="21"/>
  <c r="H17" i="21"/>
  <c r="G17" i="21"/>
  <c r="L16" i="21"/>
  <c r="K16" i="21"/>
  <c r="J16" i="21"/>
  <c r="I16" i="21"/>
  <c r="H16" i="21"/>
  <c r="G16" i="21"/>
  <c r="L15" i="21"/>
  <c r="K15" i="21"/>
  <c r="J15" i="21"/>
  <c r="I15" i="21"/>
  <c r="H15" i="21"/>
  <c r="G15" i="21"/>
  <c r="L14" i="21"/>
  <c r="K14" i="21"/>
  <c r="J14" i="21"/>
  <c r="I14" i="21"/>
  <c r="H14" i="21"/>
  <c r="G14" i="21"/>
  <c r="L13" i="21"/>
  <c r="K13" i="21"/>
  <c r="J13" i="21"/>
  <c r="I13" i="21"/>
  <c r="H13" i="21"/>
  <c r="G13" i="21"/>
  <c r="L12" i="21"/>
  <c r="K12" i="21"/>
  <c r="J12" i="21"/>
  <c r="I12" i="21"/>
  <c r="H12" i="21"/>
  <c r="G12" i="21"/>
  <c r="J11" i="21"/>
  <c r="I11" i="21"/>
  <c r="H11" i="21"/>
  <c r="G11" i="21"/>
  <c r="K10" i="21"/>
  <c r="L9" i="21"/>
  <c r="K9" i="21"/>
  <c r="J9" i="21"/>
  <c r="I9" i="21"/>
  <c r="H9" i="21"/>
  <c r="G9" i="21"/>
  <c r="L8" i="21"/>
  <c r="K8" i="21"/>
  <c r="J8" i="21"/>
  <c r="I8" i="21"/>
  <c r="H8" i="21"/>
  <c r="G8" i="21"/>
  <c r="L7" i="21"/>
  <c r="K7" i="21"/>
  <c r="J7" i="21"/>
  <c r="I7" i="21"/>
  <c r="H7" i="21"/>
  <c r="G7" i="21"/>
  <c r="L6" i="21"/>
  <c r="K6" i="21"/>
  <c r="J6" i="21"/>
  <c r="I6" i="21"/>
  <c r="H6" i="21"/>
  <c r="G6" i="21"/>
  <c r="L5" i="21"/>
  <c r="K5" i="21"/>
  <c r="J5" i="21"/>
  <c r="I5" i="21"/>
  <c r="H5" i="21"/>
  <c r="G5" i="21"/>
  <c r="A31" i="6"/>
  <c r="L53" i="6"/>
  <c r="K53" i="6"/>
  <c r="J53" i="6"/>
  <c r="I53" i="6"/>
  <c r="H53" i="6"/>
  <c r="G53" i="6"/>
  <c r="L52" i="6"/>
  <c r="K52" i="6"/>
  <c r="J52" i="6"/>
  <c r="I52" i="6"/>
  <c r="H52" i="6"/>
  <c r="G52" i="6"/>
  <c r="L51" i="6"/>
  <c r="K51" i="6"/>
  <c r="J51" i="6"/>
  <c r="I51" i="6"/>
  <c r="H51" i="6"/>
  <c r="G51" i="6"/>
  <c r="L50" i="6"/>
  <c r="K50" i="6"/>
  <c r="J50" i="6"/>
  <c r="I50" i="6"/>
  <c r="H50" i="6"/>
  <c r="G50" i="6"/>
  <c r="L49" i="6"/>
  <c r="K49" i="6"/>
  <c r="J49" i="6"/>
  <c r="I49" i="6"/>
  <c r="H49" i="6"/>
  <c r="G49" i="6"/>
  <c r="L48" i="6"/>
  <c r="K48" i="6"/>
  <c r="J48" i="6"/>
  <c r="I48" i="6"/>
  <c r="H48" i="6"/>
  <c r="G48" i="6"/>
  <c r="L47" i="6"/>
  <c r="K47" i="6"/>
  <c r="J47" i="6"/>
  <c r="I47" i="6"/>
  <c r="H47" i="6"/>
  <c r="G47" i="6"/>
  <c r="L46" i="6"/>
  <c r="K46" i="6"/>
  <c r="J46" i="6"/>
  <c r="I46" i="6"/>
  <c r="H46" i="6"/>
  <c r="G46" i="6"/>
  <c r="L45" i="6"/>
  <c r="K45" i="6"/>
  <c r="J45" i="6"/>
  <c r="I45" i="6"/>
  <c r="H45" i="6"/>
  <c r="G45" i="6"/>
  <c r="L44" i="6"/>
  <c r="K44" i="6"/>
  <c r="J44" i="6"/>
  <c r="I44" i="6"/>
  <c r="H44" i="6"/>
  <c r="G44" i="6"/>
  <c r="L43" i="6"/>
  <c r="K43" i="6"/>
  <c r="J43" i="6"/>
  <c r="I43" i="6"/>
  <c r="H43" i="6"/>
  <c r="G43" i="6"/>
  <c r="L42" i="6"/>
  <c r="K42" i="6"/>
  <c r="J42" i="6"/>
  <c r="I42" i="6"/>
  <c r="H42" i="6"/>
  <c r="G42" i="6"/>
  <c r="L41" i="6"/>
  <c r="K41" i="6"/>
  <c r="J41" i="6"/>
  <c r="I41" i="6"/>
  <c r="H41" i="6"/>
  <c r="G41" i="6"/>
  <c r="L40" i="6"/>
  <c r="K40" i="6"/>
  <c r="J40" i="6"/>
  <c r="I40" i="6"/>
  <c r="H40" i="6"/>
  <c r="G40" i="6"/>
  <c r="L39" i="6"/>
  <c r="K39" i="6"/>
  <c r="J39" i="6"/>
  <c r="I39" i="6"/>
  <c r="H39" i="6"/>
  <c r="G39" i="6"/>
  <c r="L38" i="6"/>
  <c r="K38" i="6"/>
  <c r="J38" i="6"/>
  <c r="I38" i="6"/>
  <c r="H38" i="6"/>
  <c r="G38" i="6"/>
  <c r="L37" i="6"/>
  <c r="K37" i="6"/>
  <c r="J37" i="6"/>
  <c r="I37" i="6"/>
  <c r="H37" i="6"/>
  <c r="G37" i="6"/>
  <c r="L36" i="6"/>
  <c r="K36" i="6"/>
  <c r="J36" i="6"/>
  <c r="I36" i="6"/>
  <c r="H36" i="6"/>
  <c r="G36" i="6"/>
  <c r="L35" i="6"/>
  <c r="K35" i="6"/>
  <c r="J35" i="6"/>
  <c r="I35" i="6"/>
  <c r="H35" i="6"/>
  <c r="G35" i="6"/>
  <c r="L27" i="6"/>
  <c r="K27" i="6"/>
  <c r="J27" i="6"/>
  <c r="I27" i="6"/>
  <c r="H27" i="6"/>
  <c r="G27" i="6"/>
  <c r="L26" i="6"/>
  <c r="K26" i="6"/>
  <c r="J26" i="6"/>
  <c r="I26" i="6"/>
  <c r="H26" i="6"/>
  <c r="G26" i="6"/>
  <c r="L25" i="6"/>
  <c r="K25" i="6"/>
  <c r="J25" i="6"/>
  <c r="I25" i="6"/>
  <c r="H25" i="6"/>
  <c r="G25" i="6"/>
  <c r="L24" i="6"/>
  <c r="K24" i="6"/>
  <c r="J24" i="6"/>
  <c r="I24" i="6"/>
  <c r="H24" i="6"/>
  <c r="G24" i="6"/>
  <c r="L23" i="6"/>
  <c r="K23" i="6"/>
  <c r="J23" i="6"/>
  <c r="I23" i="6"/>
  <c r="H23" i="6"/>
  <c r="G23" i="6"/>
  <c r="L22" i="6"/>
  <c r="K22" i="6"/>
  <c r="J22" i="6"/>
  <c r="I22" i="6"/>
  <c r="H22" i="6"/>
  <c r="G22" i="6"/>
  <c r="L21" i="6"/>
  <c r="K21" i="6"/>
  <c r="J21" i="6"/>
  <c r="I21" i="6"/>
  <c r="H21" i="6"/>
  <c r="G21" i="6"/>
  <c r="L20" i="6"/>
  <c r="K20" i="6"/>
  <c r="J20" i="6"/>
  <c r="I20" i="6"/>
  <c r="H20" i="6"/>
  <c r="G20" i="6"/>
  <c r="L19" i="6"/>
  <c r="K19" i="6"/>
  <c r="J19" i="6"/>
  <c r="I19" i="6"/>
  <c r="H19" i="6"/>
  <c r="G19" i="6"/>
  <c r="L18" i="6"/>
  <c r="K18" i="6"/>
  <c r="J18" i="6"/>
  <c r="I18" i="6"/>
  <c r="H18" i="6"/>
  <c r="G18" i="6"/>
  <c r="L17" i="6"/>
  <c r="K17" i="6"/>
  <c r="J17" i="6"/>
  <c r="I17" i="6"/>
  <c r="H17" i="6"/>
  <c r="G17" i="6"/>
  <c r="L16" i="6"/>
  <c r="K16" i="6"/>
  <c r="J16" i="6"/>
  <c r="I16" i="6"/>
  <c r="H16" i="6"/>
  <c r="G16" i="6"/>
  <c r="L15" i="6"/>
  <c r="K15" i="6"/>
  <c r="J15" i="6"/>
  <c r="I15" i="6"/>
  <c r="H15" i="6"/>
  <c r="G15" i="6"/>
  <c r="L14" i="6"/>
  <c r="K14" i="6"/>
  <c r="J14" i="6"/>
  <c r="I14" i="6"/>
  <c r="H14" i="6"/>
  <c r="G14" i="6"/>
  <c r="L13" i="6"/>
  <c r="K13" i="6"/>
  <c r="J13" i="6"/>
  <c r="I13" i="6"/>
  <c r="H13" i="6"/>
  <c r="G13" i="6"/>
  <c r="L12" i="6"/>
  <c r="K12" i="6"/>
  <c r="J12" i="6"/>
  <c r="I12" i="6"/>
  <c r="H12" i="6"/>
  <c r="G12" i="6"/>
  <c r="J11" i="6"/>
  <c r="I11" i="6"/>
  <c r="H11" i="6"/>
  <c r="G11" i="6"/>
  <c r="K10" i="6"/>
  <c r="L9" i="6"/>
  <c r="K9" i="6"/>
  <c r="J9" i="6"/>
  <c r="I9" i="6"/>
  <c r="H9" i="6"/>
  <c r="G9" i="6"/>
  <c r="L8" i="6"/>
  <c r="K8" i="6"/>
  <c r="J8" i="6"/>
  <c r="I8" i="6"/>
  <c r="H8" i="6"/>
  <c r="G8" i="6"/>
  <c r="L7" i="6"/>
  <c r="K7" i="6"/>
  <c r="J7" i="6"/>
  <c r="I7" i="6"/>
  <c r="H7" i="6"/>
  <c r="G7" i="6"/>
  <c r="L6" i="6"/>
  <c r="K6" i="6"/>
  <c r="J6" i="6"/>
  <c r="I6" i="6"/>
  <c r="H6" i="6"/>
  <c r="G6" i="6"/>
  <c r="L5" i="6"/>
  <c r="K5" i="6"/>
  <c r="J5" i="6"/>
  <c r="I5" i="6"/>
  <c r="H5" i="6"/>
  <c r="G5" i="6"/>
</calcChain>
</file>

<file path=xl/connections.xml><?xml version="1.0" encoding="utf-8"?>
<connections xmlns="http://schemas.openxmlformats.org/spreadsheetml/2006/main">
  <connection id="1" name="Appeals FCMS Page 1" type="6" refreshedVersion="3" background="1" saveData="1">
    <textPr codePage="437" sourceFile="N:\FCMS\Appeals\September 2010\Appeals FCMS Page 1.txt" tab="0" space="1" consecutive="1">
      <textFields count="13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ppeals FCMS Page 2" type="6" refreshedVersion="3" background="1" saveData="1">
    <textPr codePage="437" sourceFile="N:\FCMS\Appeals\September 2010\Appeals FCMS Page 2.txt" tab="0" space="1" consecutive="1" delimiter="/">
      <textFields count="14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ppeals Page 1 June 2011" type="6" refreshedVersion="3" background="1" saveData="1">
    <textPr codePage="437" sourceFile="N:\FCMS\Appeals\June\2011\Set Up\Appeals Page 1 June 2011.txt" delimited="0">
      <textFields count="134">
        <textField/>
        <textField position="157"/>
        <textField position="301"/>
        <textField position="442"/>
        <textField position="449"/>
        <textField position="456"/>
        <textField position="463"/>
        <textField position="470"/>
        <textField position="521"/>
        <textField position="573"/>
        <textField position="580"/>
        <textField position="587"/>
        <textField position="594"/>
        <textField position="601"/>
        <textField position="652"/>
        <textField position="704"/>
        <textField position="711"/>
        <textField position="718"/>
        <textField position="725"/>
        <textField position="732"/>
        <textField position="783"/>
        <textField position="835"/>
        <textField position="842"/>
        <textField position="849"/>
        <textField position="856"/>
        <textField position="863"/>
        <textField position="915"/>
        <textField position="966"/>
        <textField position="973"/>
        <textField position="980"/>
        <textField position="987"/>
        <textField position="994"/>
        <textField position="1050"/>
        <textField position="1170"/>
        <textField position="1242"/>
        <textField position="1249"/>
        <textField position="1256"/>
        <textField position="1307"/>
        <textField position="1359"/>
        <textField position="1366"/>
        <textField position="1373"/>
        <textField position="1380"/>
        <textField position="1387"/>
        <textField position="1439"/>
        <textField position="1490"/>
        <textField position="1497"/>
        <textField position="1504"/>
        <textField position="1511"/>
        <textField position="1518"/>
        <textField position="1569"/>
        <textField position="1621"/>
        <textField position="1628"/>
        <textField position="1635"/>
        <textField position="1642"/>
        <textField position="1649"/>
        <textField position="1700"/>
        <textField position="1752"/>
        <textField position="1759"/>
        <textField position="1766"/>
        <textField position="1773"/>
        <textField position="1780"/>
        <textField position="1832"/>
        <textField position="1883"/>
        <textField position="1890"/>
        <textField position="1897"/>
        <textField position="1904"/>
        <textField position="1911"/>
        <textField position="1962"/>
        <textField position="2014"/>
        <textField position="2021"/>
        <textField position="2028"/>
        <textField position="2035"/>
        <textField position="2042"/>
        <textField position="2094"/>
        <textField position="2145"/>
        <textField position="2152"/>
        <textField position="2159"/>
        <textField position="2166"/>
        <textField position="2173"/>
        <textField position="2225"/>
        <textField position="2276"/>
        <textField position="2283"/>
        <textField position="2290"/>
        <textField position="2297"/>
        <textField position="2304"/>
        <textField position="2356"/>
        <textField position="2408"/>
        <textField position="2415"/>
        <textField position="2422"/>
        <textField position="2429"/>
        <textField position="2436"/>
        <textField position="2486"/>
        <textField position="2538"/>
        <textField position="2545"/>
        <textField position="2552"/>
        <textField position="2559"/>
        <textField position="2566"/>
        <textField position="2619"/>
        <textField position="2670"/>
        <textField position="2677"/>
        <textField position="2684"/>
        <textField position="2691"/>
        <textField position="2698"/>
        <textField position="2750"/>
        <textField position="2801"/>
        <textField position="2808"/>
        <textField position="2815"/>
        <textField position="2822"/>
        <textField position="2829"/>
        <textField position="2881"/>
        <textField position="2932"/>
        <textField position="2939"/>
        <textField position="2946"/>
        <textField position="2953"/>
        <textField position="2960"/>
        <textField position="3012"/>
        <textField position="3063"/>
        <textField position="3070"/>
        <textField position="3077"/>
        <textField position="3084"/>
        <textField position="3091"/>
        <textField position="3143"/>
        <textField position="3194"/>
        <textField position="3201"/>
        <textField position="3208"/>
        <textField position="3215"/>
        <textField position="3222"/>
        <textField position="3274"/>
        <textField position="3326"/>
        <textField position="3333"/>
        <textField position="3340"/>
        <textField position="3347"/>
        <textField position="3354"/>
        <textField position="3473"/>
      </textFields>
    </textPr>
  </connection>
  <connection id="4" name="Appeals Page 2 June 20111" type="6" refreshedVersion="3" background="1" saveData="1">
    <textPr codePage="437" sourceFile="N:\FCMS\Appeals\June\2011\Set Up\Appeals Page 2 June 2011.txt" delimited="0">
      <textFields count="152">
        <textField/>
        <textField position="157"/>
        <textField position="364"/>
        <textField type="skip" position="564"/>
        <textField position="565"/>
        <textField position="569"/>
        <textField type="skip" position="571"/>
        <textField position="572"/>
        <textField position="576"/>
        <textField type="skip" position="578"/>
        <textField position="579"/>
        <textField position="583"/>
        <textField type="skip" position="585"/>
        <textField position="586"/>
        <textField position="590"/>
        <textField type="skip" position="592"/>
        <textField position="593"/>
        <textField position="597"/>
        <textField type="skip" position="599"/>
        <textField position="600"/>
        <textField position="649"/>
        <textField position="700"/>
        <textField position="707"/>
        <textField position="714"/>
        <textField position="721"/>
        <textField position="728"/>
        <textField position="778"/>
        <textField position="829"/>
        <textField position="836"/>
        <textField position="843"/>
        <textField position="850"/>
        <textField position="857"/>
        <textField position="909"/>
        <textField position="960"/>
        <textField position="967"/>
        <textField position="974"/>
        <textField position="981"/>
        <textField position="988"/>
        <textField position="997"/>
        <textField position="1044"/>
        <textField position="1092"/>
        <textField position="1099"/>
        <textField position="1106"/>
        <textField position="1113"/>
        <textField position="1120"/>
        <textField position="1128"/>
        <textField position="1175"/>
        <textField position="1223"/>
        <textField position="1230"/>
        <textField position="1237"/>
        <textField position="1244"/>
        <textField position="1251"/>
        <textField position="1259"/>
        <textField position="1306"/>
        <textField position="1354"/>
        <textField position="1361"/>
        <textField position="1368"/>
        <textField position="1375"/>
        <textField position="1382"/>
        <textField position="1390"/>
        <textField position="1437"/>
        <textField position="1485"/>
        <textField position="1492"/>
        <textField position="1499"/>
        <textField position="1506"/>
        <textField position="1513"/>
        <textField position="1521"/>
        <textField position="1567"/>
        <textField position="1615"/>
        <textField position="1622"/>
        <textField position="1629"/>
        <textField position="1636"/>
        <textField position="1643"/>
        <textField position="1652"/>
        <textField position="1700"/>
        <textField position="1747"/>
        <textField position="1755"/>
        <textField position="1762"/>
        <textField position="1769"/>
        <textField position="1776"/>
        <textField position="1783"/>
        <textField position="1830"/>
        <textField position="1878"/>
        <textField position="1885"/>
        <textField position="1892"/>
        <textField position="1899"/>
        <textField position="1905"/>
        <textField position="1914"/>
        <textField position="1961"/>
        <textField position="2009"/>
        <textField position="2016"/>
        <textField position="2023"/>
        <textField position="2030"/>
        <textField position="2036"/>
        <textField position="2045"/>
        <textField position="2092"/>
        <textField position="2140"/>
        <textField position="2147"/>
        <textField position="2154"/>
        <textField position="2161"/>
        <textField position="2168"/>
        <textField position="2176"/>
        <textField position="2223"/>
        <textField position="2271"/>
        <textField position="2278"/>
        <textField position="2285"/>
        <textField position="2292"/>
        <textField position="2299"/>
        <textField position="2307"/>
        <textField position="2354"/>
        <textField position="2402"/>
        <textField position="2409"/>
        <textField position="2416"/>
        <textField position="2423"/>
        <textField position="2430"/>
        <textField position="2438"/>
        <textField position="2485"/>
        <textField position="2533"/>
        <textField position="2540"/>
        <textField position="2547"/>
        <textField position="2554"/>
        <textField position="2561"/>
        <textField position="2569"/>
        <textField position="2615"/>
        <textField position="2663"/>
        <textField position="2670"/>
        <textField position="2677"/>
        <textField position="2684"/>
        <textField position="2691"/>
        <textField position="2700"/>
        <textField position="2747"/>
        <textField position="2795"/>
        <textField position="2802"/>
        <textField position="2809"/>
        <textField position="2816"/>
        <textField position="2823"/>
        <textField position="2831"/>
        <textField position="2879"/>
        <textField position="2927"/>
        <textField position="2934"/>
        <textField position="2941"/>
        <textField position="2948"/>
        <textField position="2955"/>
        <textField position="2962"/>
        <textField position="3009"/>
        <textField position="3057"/>
        <textField position="3065"/>
        <textField position="3072"/>
        <textField position="3079"/>
        <textField position="3086"/>
        <textField position="3093"/>
        <textField position="3342"/>
      </textFields>
    </textPr>
  </connection>
  <connection id="5" name="BTS.MARPG1revised" type="6" refreshedVersion="3" background="1" saveData="1">
    <textPr codePage="437" sourceFile="N:\FCMS\Appeals\March\2011\Data\BTS.MARPG1revised.txt" tab="0" space="1" consecutive="1">
      <textFields count="1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BTS.MARPG2revised" type="6" refreshedVersion="3" background="1" saveData="1">
    <textPr codePage="437" sourceFile="N:\FCMS\Appeals\March\2011\Data\BTS.MARPG2revised.txt" tab="0" space="1" consecutive="1" delimiter="/">
      <textFields count="14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<sst xmlns="http://schemas.openxmlformats.org/spreadsheetml/2006/main" count="1303" uniqueCount="353">
  <si>
    <t>null1</t>
  </si>
  <si>
    <t>2009appfil</t>
  </si>
  <si>
    <t>2008appfil</t>
  </si>
  <si>
    <t>2007appfil</t>
  </si>
  <si>
    <t>2006appfil</t>
  </si>
  <si>
    <t>2009pris</t>
  </si>
  <si>
    <t>2008pris</t>
  </si>
  <si>
    <t>2007pris</t>
  </si>
  <si>
    <t>2006pris</t>
  </si>
  <si>
    <t>2009other</t>
  </si>
  <si>
    <t>2008other</t>
  </si>
  <si>
    <t>2007other</t>
  </si>
  <si>
    <t>2006other</t>
  </si>
  <si>
    <t>2009crim</t>
  </si>
  <si>
    <t>2008crim</t>
  </si>
  <si>
    <t>2007crim</t>
  </si>
  <si>
    <t>2006crim</t>
  </si>
  <si>
    <t>2009admin</t>
  </si>
  <si>
    <t>2008admin</t>
  </si>
  <si>
    <t>2007admin</t>
  </si>
  <si>
    <t>2006admin</t>
  </si>
  <si>
    <t>2009change</t>
  </si>
  <si>
    <t>null2</t>
  </si>
  <si>
    <t>2008change</t>
  </si>
  <si>
    <t>2007change</t>
  </si>
  <si>
    <t>2006change</t>
  </si>
  <si>
    <t>2009term</t>
  </si>
  <si>
    <t>2008term</t>
  </si>
  <si>
    <t>2007term</t>
  </si>
  <si>
    <t>2006term</t>
  </si>
  <si>
    <t>2009consol</t>
  </si>
  <si>
    <t>2008consol</t>
  </si>
  <si>
    <t>2007consol</t>
  </si>
  <si>
    <t>2006consol</t>
  </si>
  <si>
    <t>2009proc</t>
  </si>
  <si>
    <t>2008proc</t>
  </si>
  <si>
    <t>2007proc</t>
  </si>
  <si>
    <t>2006proc</t>
  </si>
  <si>
    <t>2009merits</t>
  </si>
  <si>
    <t>2008merits</t>
  </si>
  <si>
    <t>2007merits</t>
  </si>
  <si>
    <t>2006merits</t>
  </si>
  <si>
    <t>2009prismer</t>
  </si>
  <si>
    <t>2008prismer</t>
  </si>
  <si>
    <t>2007prismer</t>
  </si>
  <si>
    <t>2006prismer</t>
  </si>
  <si>
    <t>2009othermer</t>
  </si>
  <si>
    <t>2008othermer</t>
  </si>
  <si>
    <t>2007othermer</t>
  </si>
  <si>
    <t>2006othermer</t>
  </si>
  <si>
    <t>2009crimmer</t>
  </si>
  <si>
    <t>2008crimmer</t>
  </si>
  <si>
    <t>2007crimmer</t>
  </si>
  <si>
    <t>2006crimmer</t>
  </si>
  <si>
    <t>2009adminmer</t>
  </si>
  <si>
    <t>2008adminmer</t>
  </si>
  <si>
    <t>2007adminmer</t>
  </si>
  <si>
    <t>2006adminmer</t>
  </si>
  <si>
    <t>2009activeperc</t>
  </si>
  <si>
    <t>2008activeperc</t>
  </si>
  <si>
    <t>2007activeperc</t>
  </si>
  <si>
    <t>2006activeperc</t>
  </si>
  <si>
    <t>2009pending</t>
  </si>
  <si>
    <t>2008pending</t>
  </si>
  <si>
    <t>2007pending</t>
  </si>
  <si>
    <t>2006pending</t>
  </si>
  <si>
    <t>2009meritspj</t>
  </si>
  <si>
    <t>2008meritspj</t>
  </si>
  <si>
    <t>2007meritspj</t>
  </si>
  <si>
    <t>2006meritspj</t>
  </si>
  <si>
    <t>2009procpj</t>
  </si>
  <si>
    <t>2008procpj</t>
  </si>
  <si>
    <t>2007procpj</t>
  </si>
  <si>
    <t>2006procpj</t>
  </si>
  <si>
    <t>2009writtenpj</t>
  </si>
  <si>
    <t>2008writtenpj</t>
  </si>
  <si>
    <t>2007writtenpj</t>
  </si>
  <si>
    <t>2006writtenpj</t>
  </si>
  <si>
    <t>2009signedpj</t>
  </si>
  <si>
    <t>2008signedpj</t>
  </si>
  <si>
    <t>2007signedpj</t>
  </si>
  <si>
    <t>2006signedpj</t>
  </si>
  <si>
    <t>2009unspj</t>
  </si>
  <si>
    <t>2008unspj</t>
  </si>
  <si>
    <t>2007unspj</t>
  </si>
  <si>
    <t>2006unspj</t>
  </si>
  <si>
    <t>2009wocpj</t>
  </si>
  <si>
    <t>2008wocpj</t>
  </si>
  <si>
    <t>2007wocpj</t>
  </si>
  <si>
    <t>2006wocpj</t>
  </si>
  <si>
    <t>page</t>
  </si>
  <si>
    <t>-</t>
  </si>
  <si>
    <t>U.S.</t>
  </si>
  <si>
    <t>null3</t>
  </si>
  <si>
    <t>null4</t>
  </si>
  <si>
    <t>2009judges</t>
  </si>
  <si>
    <t>2009panels</t>
  </si>
  <si>
    <t>2008judges</t>
  </si>
  <si>
    <t>2008panels</t>
  </si>
  <si>
    <t>2007judges</t>
  </si>
  <si>
    <t>2007panels</t>
  </si>
  <si>
    <t>2006judges</t>
  </si>
  <si>
    <t>2006panels</t>
  </si>
  <si>
    <t>2009senior</t>
  </si>
  <si>
    <t>2008senior</t>
  </si>
  <si>
    <t>2007senior</t>
  </si>
  <si>
    <t>2006senior</t>
  </si>
  <si>
    <t>2009vacmos</t>
  </si>
  <si>
    <t>2008vacmos</t>
  </si>
  <si>
    <t>2007vacmos</t>
  </si>
  <si>
    <t>2006vacmos</t>
  </si>
  <si>
    <t>2009appealspp</t>
  </si>
  <si>
    <t>2008appealspp</t>
  </si>
  <si>
    <t>2007appealspp</t>
  </si>
  <si>
    <t>2006appealspp</t>
  </si>
  <si>
    <t>appealspprank</t>
  </si>
  <si>
    <t>2009prispp</t>
  </si>
  <si>
    <t>2008prispp</t>
  </si>
  <si>
    <t>2007prispp</t>
  </si>
  <si>
    <t>2006prispp</t>
  </si>
  <si>
    <t>prispprank</t>
  </si>
  <si>
    <t>2009otherpp</t>
  </si>
  <si>
    <t>2008otherpp</t>
  </si>
  <si>
    <t>2007otherpp</t>
  </si>
  <si>
    <t>2006otherpp</t>
  </si>
  <si>
    <t>otherpprank</t>
  </si>
  <si>
    <t>2009crimpp</t>
  </si>
  <si>
    <t>2008crimpp</t>
  </si>
  <si>
    <t>2007crimpp</t>
  </si>
  <si>
    <t>2006crimpp</t>
  </si>
  <si>
    <t>crimpprank</t>
  </si>
  <si>
    <t>2009adminpp</t>
  </si>
  <si>
    <t>2008adminpp</t>
  </si>
  <si>
    <t>2007adminpp</t>
  </si>
  <si>
    <t>2006adminpp</t>
  </si>
  <si>
    <t>adminpprank</t>
  </si>
  <si>
    <t>2009termpp</t>
  </si>
  <si>
    <t>2006termpp</t>
  </si>
  <si>
    <t>termpprank</t>
  </si>
  <si>
    <t>2009consoltermpp</t>
  </si>
  <si>
    <t>2008consoltermpp</t>
  </si>
  <si>
    <t>2007consoltermpp</t>
  </si>
  <si>
    <t>2006consoltermpp</t>
  </si>
  <si>
    <t>consoltermpprank</t>
  </si>
  <si>
    <t>2009proctermpp</t>
  </si>
  <si>
    <t>2008proctermpp</t>
  </si>
  <si>
    <t>2007proctermpp</t>
  </si>
  <si>
    <t>2006proctermpp</t>
  </si>
  <si>
    <t>proctermpprank</t>
  </si>
  <si>
    <t>2009meritstermpp</t>
  </si>
  <si>
    <t>2008meritstermpp</t>
  </si>
  <si>
    <t>2007meritstermpp</t>
  </si>
  <si>
    <t>2006meritstermpp</t>
  </si>
  <si>
    <t>meritstermpprank</t>
  </si>
  <si>
    <t>2009pristermpp</t>
  </si>
  <si>
    <t>2008pristermpp</t>
  </si>
  <si>
    <t>2007pristermpp</t>
  </si>
  <si>
    <t>2006pristermpp</t>
  </si>
  <si>
    <t>pristermpprank</t>
  </si>
  <si>
    <t>2009othertermpp</t>
  </si>
  <si>
    <t>2008othertermpp</t>
  </si>
  <si>
    <t>2007othertermpp</t>
  </si>
  <si>
    <t>2006othertermpp</t>
  </si>
  <si>
    <t>othertermpprank</t>
  </si>
  <si>
    <t>2009crimtermpp</t>
  </si>
  <si>
    <t>2008crimtermpp</t>
  </si>
  <si>
    <t>2007crimtermpp</t>
  </si>
  <si>
    <t>2006crimtermpp</t>
  </si>
  <si>
    <t>crimtermpprank</t>
  </si>
  <si>
    <t>2009admintermpp</t>
  </si>
  <si>
    <t>2008admintermpp</t>
  </si>
  <si>
    <t>2007admintermpp</t>
  </si>
  <si>
    <t>2006admintermpp</t>
  </si>
  <si>
    <t>admintermpprank</t>
  </si>
  <si>
    <t>2009pendpp</t>
  </si>
  <si>
    <t>2008pendpp</t>
  </si>
  <si>
    <t>2007pendpp</t>
  </si>
  <si>
    <t>2006pendpp</t>
  </si>
  <si>
    <t>pendpprank</t>
  </si>
  <si>
    <t>2009median</t>
  </si>
  <si>
    <t>2008median</t>
  </si>
  <si>
    <t>2007median</t>
  </si>
  <si>
    <t>2006median</t>
  </si>
  <si>
    <t>medianrank</t>
  </si>
  <si>
    <t>2009interlocpj</t>
  </si>
  <si>
    <t>2008interlocpj</t>
  </si>
  <si>
    <t>2007interlocpj</t>
  </si>
  <si>
    <t>2006interlocpj</t>
  </si>
  <si>
    <t>interlocpjrank</t>
  </si>
  <si>
    <t>2009rehear</t>
  </si>
  <si>
    <t>2008rehear</t>
  </si>
  <si>
    <t>2007rehear</t>
  </si>
  <si>
    <t>2006rehear</t>
  </si>
  <si>
    <t>rehearrank</t>
  </si>
  <si>
    <t>page2</t>
  </si>
  <si>
    <t>Numerical Standing Within</t>
  </si>
  <si>
    <t>Overall
Caseload
Statistics</t>
  </si>
  <si>
    <t>Percent Change in Total Filings
Current Year Over Earlier Year</t>
  </si>
  <si>
    <t>Over Last Year</t>
  </si>
  <si>
    <t>Over Earlier Years</t>
  </si>
  <si>
    <t>Total</t>
  </si>
  <si>
    <t>Other</t>
  </si>
  <si>
    <t>Appeals Filed</t>
  </si>
  <si>
    <t>Prisoner</t>
  </si>
  <si>
    <t>Administrative</t>
  </si>
  <si>
    <t>Procedural</t>
  </si>
  <si>
    <t>On the Merits</t>
  </si>
  <si>
    <t>Criminal</t>
  </si>
  <si>
    <t>Percent by 
Active Judges</t>
  </si>
  <si>
    <t>Pending Appeals</t>
  </si>
  <si>
    <t>Actions per 
Active Judge*</t>
  </si>
  <si>
    <t>Procedural Terminations</t>
  </si>
  <si>
    <t>Written Decisions</t>
  </si>
  <si>
    <t>Signed</t>
  </si>
  <si>
    <t>Unsigned</t>
  </si>
  <si>
    <t>Without Comment</t>
  </si>
  <si>
    <t>Number of Judgeships/
Number of Panels</t>
  </si>
  <si>
    <t>Number of Sitting 
Senior Judges</t>
  </si>
  <si>
    <t>Number of Vacant 
Judgeship Months**</t>
  </si>
  <si>
    <t>Median Time</t>
  </si>
  <si>
    <t>Median Time From Filing Notice 
of Appeal to Final Disposition</t>
  </si>
  <si>
    <t>Other Caseload per Judgeship</t>
  </si>
  <si>
    <t>Applications for 
Interlocutory Appeals</t>
  </si>
  <si>
    <t>Petitions for Rehearing</t>
  </si>
  <si>
    <t>NATIONAL TOTALS</t>
  </si>
  <si>
    <t>Appeals 
Filed</t>
  </si>
  <si>
    <t>Appeals 
Terminated</t>
  </si>
  <si>
    <t>Appeals
 Terminated</t>
  </si>
  <si>
    <t>Actions 
per 
Panel*</t>
  </si>
  <si>
    <t>** See "Explanation of Selected Terms."</t>
  </si>
  <si>
    <t>* Includes only judges active during the entire 12-month period.</t>
  </si>
  <si>
    <t>FIRST CIRCUIT</t>
  </si>
  <si>
    <t>SECOND CIRCUIT</t>
  </si>
  <si>
    <t>THIRD CIRCUIT</t>
  </si>
  <si>
    <t>FOURTH CIRCUIT</t>
  </si>
  <si>
    <t>FIFTH CIRCUIT</t>
  </si>
  <si>
    <t>SIXTH CIRCUIT</t>
  </si>
  <si>
    <t>SEVENTH CIRCUIT</t>
  </si>
  <si>
    <t>EIGHTH CIRCUIT</t>
  </si>
  <si>
    <t>NINTH CIRCUIT</t>
  </si>
  <si>
    <t>TENTH CIRCUIT</t>
  </si>
  <si>
    <t>ELEVENTH CIRCUIT</t>
  </si>
  <si>
    <t>DISTRICT OF COLUMBIA</t>
  </si>
  <si>
    <t>* See "Explanation of the Judicial Caseload Profiles."</t>
  </si>
  <si>
    <t>2008ermpp</t>
  </si>
  <si>
    <t>2007termpp</t>
  </si>
  <si>
    <t>U.S. Court of Appeals -- Judicial Caseload Profile</t>
  </si>
  <si>
    <t>Terminations on the Merits</t>
  </si>
  <si>
    <t>2011appfil</t>
  </si>
  <si>
    <t>2010appfil</t>
  </si>
  <si>
    <t>2011pris</t>
  </si>
  <si>
    <t>2010pris</t>
  </si>
  <si>
    <t>2011other</t>
  </si>
  <si>
    <t>2010other</t>
  </si>
  <si>
    <t>2011crim</t>
  </si>
  <si>
    <t>2010crim</t>
  </si>
  <si>
    <t>2011admin</t>
  </si>
  <si>
    <t>2010admin</t>
  </si>
  <si>
    <t>2010change</t>
  </si>
  <si>
    <t>2011term</t>
  </si>
  <si>
    <t>2010term</t>
  </si>
  <si>
    <t>2011consol</t>
  </si>
  <si>
    <t>2010consol</t>
  </si>
  <si>
    <t>2011proc</t>
  </si>
  <si>
    <t>2010proc</t>
  </si>
  <si>
    <t>2011merits</t>
  </si>
  <si>
    <t>2010merits</t>
  </si>
  <si>
    <t>2011prismer</t>
  </si>
  <si>
    <t>2010prismer</t>
  </si>
  <si>
    <t>2011othermer</t>
  </si>
  <si>
    <t>2010othermer</t>
  </si>
  <si>
    <t>2011crimmer</t>
  </si>
  <si>
    <t>2010crimmer</t>
  </si>
  <si>
    <t>2011adminmer</t>
  </si>
  <si>
    <t>2010adminmer</t>
  </si>
  <si>
    <t>2011activperc</t>
  </si>
  <si>
    <t>2010activeperc</t>
  </si>
  <si>
    <t>2011pending</t>
  </si>
  <si>
    <t>2010pending</t>
  </si>
  <si>
    <t>2011meritspj</t>
  </si>
  <si>
    <t>2010meritspj</t>
  </si>
  <si>
    <t>2011procpj</t>
  </si>
  <si>
    <t>2010procpj</t>
  </si>
  <si>
    <t>2011writtenpj</t>
  </si>
  <si>
    <t>2010writtenpj</t>
  </si>
  <si>
    <t>2011signedpj</t>
  </si>
  <si>
    <t>2010signedpj</t>
  </si>
  <si>
    <t>2011unspj</t>
  </si>
  <si>
    <t>2010unspj</t>
  </si>
  <si>
    <t>2011wocpj</t>
  </si>
  <si>
    <t>2010wocpj</t>
  </si>
  <si>
    <t>2011judges</t>
  </si>
  <si>
    <t>2011panels</t>
  </si>
  <si>
    <t>2010judges</t>
  </si>
  <si>
    <t>2010panels</t>
  </si>
  <si>
    <t>2011senior</t>
  </si>
  <si>
    <t>2010senior</t>
  </si>
  <si>
    <t>2011vacmos</t>
  </si>
  <si>
    <t>2010vacmos</t>
  </si>
  <si>
    <t>2011appealspp</t>
  </si>
  <si>
    <t>2010appealspp</t>
  </si>
  <si>
    <t>2011prispp</t>
  </si>
  <si>
    <t>2010prispp</t>
  </si>
  <si>
    <t>2011otherpp</t>
  </si>
  <si>
    <t>2010otherpp</t>
  </si>
  <si>
    <t>2011crimpp</t>
  </si>
  <si>
    <t>2010crimpp</t>
  </si>
  <si>
    <t>2011adminpp</t>
  </si>
  <si>
    <t>2010adminpp</t>
  </si>
  <si>
    <t>2011termpp</t>
  </si>
  <si>
    <t>2010termpp</t>
  </si>
  <si>
    <t>2011consoltermpp</t>
  </si>
  <si>
    <t>2010consoltermpp</t>
  </si>
  <si>
    <t>2011proctermpp</t>
  </si>
  <si>
    <t>2010proctermpp</t>
  </si>
  <si>
    <t>2011meritstermpp</t>
  </si>
  <si>
    <t>2010meritstermpp</t>
  </si>
  <si>
    <t>2011pristermpp</t>
  </si>
  <si>
    <t>2010pristermpp</t>
  </si>
  <si>
    <t>2011othertermpp</t>
  </si>
  <si>
    <t>2010othertermpp</t>
  </si>
  <si>
    <t>2011crimtermpp</t>
  </si>
  <si>
    <t>2010crimtermpp</t>
  </si>
  <si>
    <t>2011admintermpp</t>
  </si>
  <si>
    <t>2010admintermpp</t>
  </si>
  <si>
    <t>2011pendpp</t>
  </si>
  <si>
    <t>2010pendpp</t>
  </si>
  <si>
    <t>2011median</t>
  </si>
  <si>
    <t>2010median</t>
  </si>
  <si>
    <t>2011interlocpj</t>
  </si>
  <si>
    <t>2010interlocpj</t>
  </si>
  <si>
    <t>2011rehear</t>
  </si>
  <si>
    <t>2010rehear</t>
  </si>
  <si>
    <t>Select a Circuit:</t>
  </si>
  <si>
    <t>National Totals</t>
  </si>
  <si>
    <t>District of Columbia</t>
  </si>
  <si>
    <t>First Circuit</t>
  </si>
  <si>
    <t>Second Circuit</t>
  </si>
  <si>
    <t>Third Circuit</t>
  </si>
  <si>
    <t>Fourth Circuit</t>
  </si>
  <si>
    <t>Fifth Circuit</t>
  </si>
  <si>
    <t>Sixth Circuit</t>
  </si>
  <si>
    <t>Seventh Circuit</t>
  </si>
  <si>
    <t>Eighth Circuit</t>
  </si>
  <si>
    <t>Ninth Circuit</t>
  </si>
  <si>
    <t>Tenth Circuit</t>
  </si>
  <si>
    <t>Eleventh Circuit</t>
  </si>
  <si>
    <t>Back to 
Select a Circuit</t>
  </si>
  <si>
    <t>12-Month Periods Ending</t>
  </si>
  <si>
    <t>September 30</t>
  </si>
  <si>
    <t>December 31</t>
  </si>
  <si>
    <t>Consolidations 
&amp; Cross Appeals^</t>
  </si>
  <si>
    <t>^ Prior to December 2011, cases disposed of by consolidation and cross appeals were counted separately. From December 2011 forward, they are counted as a subset of procedural or merit terminations to reflect the manner in which the appeal was disposed.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</si>
</sst>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3" fontId="0" fillId="0" borderId="0" xfId="0" applyNumberFormat="1"/>
    <xf numFmtId="0" fontId="1" fillId="0" borderId="0" xfId="0" applyFont="1"/>
    <xf numFmtId="3" fontId="7" fillId="0" borderId="4" xfId="0" applyNumberFormat="1" applyFont="1" applyFill="1" applyBorder="1" applyAlignment="1">
      <alignment horizontal="right" vertical="center" indent="1"/>
    </xf>
    <xf numFmtId="0" fontId="1" fillId="0" borderId="0" xfId="0" applyFont="1" applyAlignment="1">
      <alignment horizontal="right" indent="1"/>
    </xf>
    <xf numFmtId="164" fontId="7" fillId="0" borderId="4" xfId="0" applyNumberFormat="1" applyFont="1" applyFill="1" applyBorder="1" applyAlignment="1">
      <alignment horizontal="right" vertical="center" indent="1"/>
    </xf>
    <xf numFmtId="0" fontId="8" fillId="0" borderId="4" xfId="0" applyFont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horizontal="right" vertical="center" wrapText="1" indent="1"/>
    </xf>
    <xf numFmtId="164" fontId="7" fillId="0" borderId="7" xfId="0" applyNumberFormat="1" applyFont="1" applyBorder="1" applyAlignment="1">
      <alignment horizontal="right" vertical="center" indent="1"/>
    </xf>
    <xf numFmtId="1" fontId="7" fillId="0" borderId="4" xfId="0" applyNumberFormat="1" applyFont="1" applyFill="1" applyBorder="1" applyAlignment="1">
      <alignment horizontal="right" vertical="center" indent="1"/>
    </xf>
    <xf numFmtId="1" fontId="7" fillId="0" borderId="7" xfId="0" applyNumberFormat="1" applyFont="1" applyBorder="1" applyAlignment="1">
      <alignment horizontal="right" vertical="center" indent="1"/>
    </xf>
    <xf numFmtId="1" fontId="7" fillId="0" borderId="4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center" indent="1"/>
    </xf>
    <xf numFmtId="3" fontId="7" fillId="0" borderId="4" xfId="0" applyNumberFormat="1" applyFont="1" applyBorder="1" applyAlignment="1">
      <alignment horizontal="right" vertical="center" indent="1"/>
    </xf>
    <xf numFmtId="1" fontId="7" fillId="0" borderId="7" xfId="0" applyNumberFormat="1" applyFont="1" applyFill="1" applyBorder="1" applyAlignment="1">
      <alignment horizontal="right" vertical="center" indent="1"/>
    </xf>
    <xf numFmtId="165" fontId="7" fillId="0" borderId="4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/>
    </xf>
    <xf numFmtId="0" fontId="10" fillId="0" borderId="0" xfId="1" applyAlignment="1" applyProtection="1"/>
    <xf numFmtId="0" fontId="10" fillId="0" borderId="0" xfId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0" fillId="0" borderId="0" xfId="1" applyAlignment="1" applyProtection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255" wrapText="1"/>
    </xf>
    <xf numFmtId="0" fontId="4" fillId="0" borderId="11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0" xfId="1" applyAlignment="1" applyProtection="1">
      <alignment horizontal="left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wrapText="1"/>
    </xf>
    <xf numFmtId="3" fontId="5" fillId="0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Appeals Page 1 June 2011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BTS.MARPG1revised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ppeals FCMS Page 1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ppeals Page 2 June 2011_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BTS.MARPG2revised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ppeals FCMS Page 2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queryTable" Target="../queryTables/query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Appeal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abSelected="1" workbookViewId="0"/>
  </sheetViews>
  <sheetFormatPr defaultRowHeight="15" x14ac:dyDescent="0.25"/>
  <cols>
    <col min="1" max="1" width="18.7109375" bestFit="1" customWidth="1"/>
  </cols>
  <sheetData>
    <row r="1" spans="1:1" x14ac:dyDescent="0.25">
      <c r="A1" s="18" t="s">
        <v>333</v>
      </c>
    </row>
    <row r="3" spans="1:1" x14ac:dyDescent="0.25">
      <c r="A3" s="19" t="s">
        <v>334</v>
      </c>
    </row>
    <row r="4" spans="1:1" x14ac:dyDescent="0.25">
      <c r="A4" s="19" t="s">
        <v>335</v>
      </c>
    </row>
    <row r="5" spans="1:1" x14ac:dyDescent="0.25">
      <c r="A5" s="19" t="s">
        <v>336</v>
      </c>
    </row>
    <row r="6" spans="1:1" x14ac:dyDescent="0.25">
      <c r="A6" s="19" t="s">
        <v>337</v>
      </c>
    </row>
    <row r="7" spans="1:1" x14ac:dyDescent="0.25">
      <c r="A7" s="19" t="s">
        <v>338</v>
      </c>
    </row>
    <row r="8" spans="1:1" x14ac:dyDescent="0.25">
      <c r="A8" s="19" t="s">
        <v>339</v>
      </c>
    </row>
    <row r="9" spans="1:1" x14ac:dyDescent="0.25">
      <c r="A9" s="19" t="s">
        <v>340</v>
      </c>
    </row>
    <row r="10" spans="1:1" x14ac:dyDescent="0.25">
      <c r="A10" s="19" t="s">
        <v>341</v>
      </c>
    </row>
    <row r="11" spans="1:1" x14ac:dyDescent="0.25">
      <c r="A11" s="19" t="s">
        <v>342</v>
      </c>
    </row>
    <row r="12" spans="1:1" x14ac:dyDescent="0.25">
      <c r="A12" s="19" t="s">
        <v>343</v>
      </c>
    </row>
    <row r="13" spans="1:1" x14ac:dyDescent="0.25">
      <c r="A13" s="19" t="s">
        <v>344</v>
      </c>
    </row>
    <row r="14" spans="1:1" x14ac:dyDescent="0.25">
      <c r="A14" s="19" t="s">
        <v>345</v>
      </c>
    </row>
    <row r="15" spans="1:1" x14ac:dyDescent="0.25">
      <c r="A15" s="19" t="s">
        <v>346</v>
      </c>
    </row>
  </sheetData>
  <hyperlinks>
    <hyperlink ref="A3" location="'NATIONAL TOTALS'!A1" display="National Totals"/>
    <hyperlink ref="A4" location="'DISTRICT OF COLUMBIA'!A1" display="District of Columbia"/>
    <hyperlink ref="A5" location="'FIRST CIRCUIT'!A1" display="First Circuit"/>
    <hyperlink ref="A6" location="'SECOND CIRCUIT'!A1" display="Second Circuit"/>
    <hyperlink ref="A7" location="'THIRD CIRCUIT'!A1" display="Third Circuit"/>
    <hyperlink ref="A8" location="'FOURTH CIRCUIT'!A1" display="Fourth Circuit"/>
    <hyperlink ref="A9" location="'FIFTH CIRCUIT'!A1" display="Fifth Circuit"/>
    <hyperlink ref="A10" location="'SIXTH CIRCUIT'!A1" display="Sixth Circuit"/>
    <hyperlink ref="A11" location="'SEVENTH CIRCUIT'!A1" display="Seventh Circuit"/>
    <hyperlink ref="A12" location="'EIGHTH CIRCUIT'!A1" display="Eighth Circuit"/>
    <hyperlink ref="A13" location="'NINTH CIRCUIT'!A1" display="Ninth Circuit"/>
    <hyperlink ref="A14" location="'TENTH CIRCUIT'!A1" display="Tenth Circuit"/>
    <hyperlink ref="A15" location="'ELEVENTH CIRCUIT'!A1" display="Eleventh Circuit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235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8055</v>
      </c>
      <c r="H5" s="3">
        <f>VLOOKUP($A$2,'Circuit Data'!$A$2:$ED$15,7,)</f>
        <v>7667</v>
      </c>
      <c r="I5" s="3">
        <f>VLOOKUP($A$2,'Circuit Data'!$A$2:$ED$15,6,)</f>
        <v>7246</v>
      </c>
      <c r="J5" s="3">
        <f>VLOOKUP($A$2,'Circuit Data'!$A$2:$ED$15,5,)</f>
        <v>7462</v>
      </c>
      <c r="K5" s="3">
        <f>VLOOKUP($A$2,'Circuit Data'!$A$2:$ED$15,4,)</f>
        <v>7512</v>
      </c>
      <c r="L5" s="3">
        <f>VLOOKUP($A$2,'Circuit Data'!$A$2:$ED$15,3,)</f>
        <v>7413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2580</v>
      </c>
      <c r="H6" s="3">
        <f>VLOOKUP($A$2,'Circuit Data'!$A$2:$ED$15,13,)</f>
        <v>2330</v>
      </c>
      <c r="I6" s="3">
        <f>VLOOKUP($A$2,'Circuit Data'!$A$2:$ED$15,12,)</f>
        <v>2244</v>
      </c>
      <c r="J6" s="3">
        <f>VLOOKUP($A$2,'Circuit Data'!$A$2:$ED$15,11,)</f>
        <v>2317</v>
      </c>
      <c r="K6" s="3">
        <f>VLOOKUP($A$2,'Circuit Data'!$A$2:$ED$15,10,)</f>
        <v>2365</v>
      </c>
      <c r="L6" s="3">
        <f>VLOOKUP($A$2,'Circuit Data'!$A$2:$ED$15,9,)</f>
        <v>2281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2386</v>
      </c>
      <c r="H7" s="3">
        <f>VLOOKUP($A$2,'Circuit Data'!$A$2:$ED$15,19,)</f>
        <v>2160</v>
      </c>
      <c r="I7" s="3">
        <f>VLOOKUP($A$2,'Circuit Data'!$A$2:$ED$15,18,)</f>
        <v>1986</v>
      </c>
      <c r="J7" s="3">
        <f>VLOOKUP($A$2,'Circuit Data'!$A$2:$ED$15,17,)</f>
        <v>2145</v>
      </c>
      <c r="K7" s="3">
        <f>VLOOKUP($A$2,'Circuit Data'!$A$2:$ED$15,16,)</f>
        <v>2162</v>
      </c>
      <c r="L7" s="3">
        <f>VLOOKUP($A$2,'Circuit Data'!$A$2:$ED$15,15,)</f>
        <v>2192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2547</v>
      </c>
      <c r="H8" s="3">
        <f>VLOOKUP($A$2,'Circuit Data'!$A$2:$ED$15,25,)</f>
        <v>2535</v>
      </c>
      <c r="I8" s="3">
        <f>VLOOKUP($A$2,'Circuit Data'!$A$2:$ED$15,24,)</f>
        <v>2524</v>
      </c>
      <c r="J8" s="3">
        <f>VLOOKUP($A$2,'Circuit Data'!$A$2:$ED$15,23,)</f>
        <v>2438</v>
      </c>
      <c r="K8" s="3">
        <f>VLOOKUP($A$2,'Circuit Data'!$A$2:$ED$15,22,)</f>
        <v>2448</v>
      </c>
      <c r="L8" s="3">
        <f>VLOOKUP($A$2,'Circuit Data'!$A$2:$ED$15,21,)</f>
        <v>2510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542</v>
      </c>
      <c r="H9" s="3">
        <f>VLOOKUP($A$2,'Circuit Data'!$A$2:$ED$15,31,)</f>
        <v>642</v>
      </c>
      <c r="I9" s="3">
        <f>VLOOKUP($A$2,'Circuit Data'!$A$2:$ED$15,30,)</f>
        <v>492</v>
      </c>
      <c r="J9" s="3">
        <f>VLOOKUP($A$2,'Circuit Data'!$A$2:$ED$15,29,)</f>
        <v>562</v>
      </c>
      <c r="K9" s="3">
        <f>VLOOKUP($A$2,'Circuit Data'!$A$2:$ED$15,28,)</f>
        <v>537</v>
      </c>
      <c r="L9" s="3">
        <f>VLOOKUP($A$2,'Circuit Data'!$A$2:$ED$15,27,)</f>
        <v>430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-1.3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-8</v>
      </c>
      <c r="H11" s="5">
        <f>VLOOKUP($A$2,'Circuit Data'!$A$2:$ED$15,37,)</f>
        <v>-3.3</v>
      </c>
      <c r="I11" s="5">
        <f>VLOOKUP($A$2,'Circuit Data'!$A$2:$ED$15,36,)</f>
        <v>2.2999999999999998</v>
      </c>
      <c r="J11" s="5">
        <f>VLOOKUP($A$2,'Circuit Data'!$A$2:$ED$15,35,)</f>
        <v>-0.7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9578</v>
      </c>
      <c r="H12" s="9">
        <f>VLOOKUP($A$2,'Circuit Data'!$A$2:$ED$15,43,)</f>
        <v>8086</v>
      </c>
      <c r="I12" s="3">
        <f>VLOOKUP($A$2,'Circuit Data'!$A$2:$ED$15,42,)</f>
        <v>7355</v>
      </c>
      <c r="J12" s="3">
        <f>VLOOKUP($A$2,'Circuit Data'!$A$2:$ED$15,41,)</f>
        <v>7624</v>
      </c>
      <c r="K12" s="3">
        <f>VLOOKUP($A$2,'Circuit Data'!$A$2:$ED$15,40,)</f>
        <v>7529</v>
      </c>
      <c r="L12" s="3">
        <f>VLOOKUP($A$2,'Circuit Data'!$A$2:$ED$15,39,)</f>
        <v>7634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153</v>
      </c>
      <c r="H13" s="3">
        <f>VLOOKUP($A$2,'Circuit Data'!$A$2:$ED$15,49,)</f>
        <v>102</v>
      </c>
      <c r="I13" s="3">
        <f>VLOOKUP($A$2,'Circuit Data'!$A$2:$ED$15,48,)</f>
        <v>123</v>
      </c>
      <c r="J13" s="3">
        <f>VLOOKUP($A$2,'Circuit Data'!$A$2:$ED$15,47,)</f>
        <v>122</v>
      </c>
      <c r="K13" s="3">
        <f>VLOOKUP($A$2,'Circuit Data'!$A$2:$ED$15,46,)</f>
        <v>118</v>
      </c>
      <c r="L13" s="3">
        <f>VLOOKUP($A$2,'Circuit Data'!$A$2:$ED$15,45,)</f>
        <v>261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4448</v>
      </c>
      <c r="H14" s="3">
        <f>VLOOKUP($A$2,'Circuit Data'!$A$2:$ED$15,55,)</f>
        <v>3863</v>
      </c>
      <c r="I14" s="3">
        <f>VLOOKUP($A$2,'Circuit Data'!$A$2:$ED$15,54,)</f>
        <v>3643</v>
      </c>
      <c r="J14" s="3">
        <f>VLOOKUP($A$2,'Circuit Data'!$A$2:$ED$15,53,)</f>
        <v>3729</v>
      </c>
      <c r="K14" s="3">
        <f>VLOOKUP($A$2,'Circuit Data'!$A$2:$ED$15,52,)</f>
        <v>3625</v>
      </c>
      <c r="L14" s="3">
        <f>VLOOKUP($A$2,'Circuit Data'!$A$2:$ED$15,51,)</f>
        <v>3532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4977</v>
      </c>
      <c r="H15" s="3">
        <f>VLOOKUP($A$2,'Circuit Data'!$A$2:$ED$15,61,)</f>
        <v>4121</v>
      </c>
      <c r="I15" s="3">
        <f>VLOOKUP($A$2,'Circuit Data'!$A$2:$ED$15,60,)</f>
        <v>3589</v>
      </c>
      <c r="J15" s="3">
        <f>VLOOKUP($A$2,'Circuit Data'!$A$2:$ED$15,59,)</f>
        <v>3773</v>
      </c>
      <c r="K15" s="3">
        <f>VLOOKUP($A$2,'Circuit Data'!$A$2:$ED$15,58,)</f>
        <v>3786</v>
      </c>
      <c r="L15" s="3">
        <f>VLOOKUP($A$2,'Circuit Data'!$A$2:$ED$15,57,)</f>
        <v>4102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520</v>
      </c>
      <c r="H16" s="3">
        <f>VLOOKUP($A$2,'Circuit Data'!$A$2:$ED$15,67,)</f>
        <v>521</v>
      </c>
      <c r="I16" s="3">
        <f>VLOOKUP($A$2,'Circuit Data'!$A$2:$ED$15,66,)</f>
        <v>429</v>
      </c>
      <c r="J16" s="3">
        <f>VLOOKUP($A$2,'Circuit Data'!$A$2:$ED$15,65,)</f>
        <v>509</v>
      </c>
      <c r="K16" s="3">
        <f>VLOOKUP($A$2,'Circuit Data'!$A$2:$ED$15,64,)</f>
        <v>451</v>
      </c>
      <c r="L16" s="3">
        <f>VLOOKUP($A$2,'Circuit Data'!$A$2:$ED$15,63,)</f>
        <v>679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1340</v>
      </c>
      <c r="H17" s="3">
        <f>VLOOKUP($A$2,'Circuit Data'!$A$2:$ED$15,73,)</f>
        <v>1381</v>
      </c>
      <c r="I17" s="3">
        <f>VLOOKUP($A$2,'Circuit Data'!$A$2:$ED$15,72,)</f>
        <v>1265</v>
      </c>
      <c r="J17" s="3">
        <f>VLOOKUP($A$2,'Circuit Data'!$A$2:$ED$15,71,)</f>
        <v>1161</v>
      </c>
      <c r="K17" s="3">
        <f>VLOOKUP($A$2,'Circuit Data'!$A$2:$ED$15,70,)</f>
        <v>1176</v>
      </c>
      <c r="L17" s="3">
        <f>VLOOKUP($A$2,'Circuit Data'!$A$2:$ED$15,69,)</f>
        <v>1328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2784</v>
      </c>
      <c r="H18" s="3">
        <f>VLOOKUP($A$2,'Circuit Data'!$A$2:$ED$15,79,)</f>
        <v>1980</v>
      </c>
      <c r="I18" s="3">
        <f>VLOOKUP($A$2,'Circuit Data'!$A$2:$ED$15,78,)</f>
        <v>1635</v>
      </c>
      <c r="J18" s="3">
        <f>VLOOKUP($A$2,'Circuit Data'!$A$2:$ED$15,77,)</f>
        <v>1838</v>
      </c>
      <c r="K18" s="3">
        <f>VLOOKUP($A$2,'Circuit Data'!$A$2:$ED$15,76,)</f>
        <v>1918</v>
      </c>
      <c r="L18" s="3">
        <f>VLOOKUP($A$2,'Circuit Data'!$A$2:$ED$15,75,)</f>
        <v>1897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333</v>
      </c>
      <c r="H19" s="3">
        <f>VLOOKUP($A$2,'Circuit Data'!$A$2:$ED$15,85,)</f>
        <v>239</v>
      </c>
      <c r="I19" s="3">
        <f>VLOOKUP($A$2,'Circuit Data'!$A$2:$ED$15,84,)</f>
        <v>260</v>
      </c>
      <c r="J19" s="3">
        <f>VLOOKUP($A$2,'Circuit Data'!$A$2:$ED$15,83,)</f>
        <v>265</v>
      </c>
      <c r="K19" s="3">
        <f>VLOOKUP($A$2,'Circuit Data'!$A$2:$ED$15,82,)</f>
        <v>241</v>
      </c>
      <c r="L19" s="3">
        <f>VLOOKUP($A$2,'Circuit Data'!$A$2:$ED$15,81,)</f>
        <v>198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87.1</v>
      </c>
      <c r="H20" s="5">
        <f>VLOOKUP($A$2,'Circuit Data'!$A$2:$ED$15,91,)</f>
        <v>86.1</v>
      </c>
      <c r="I20" s="5">
        <f>VLOOKUP($A$2,'Circuit Data'!$A$2:$ED$15,90,)</f>
        <v>87.2</v>
      </c>
      <c r="J20" s="5">
        <f>VLOOKUP($A$2,'Circuit Data'!$A$2:$ED$15,89,)</f>
        <v>89.4</v>
      </c>
      <c r="K20" s="5">
        <f>VLOOKUP($A$2,'Circuit Data'!$A$2:$ED$15,88,)</f>
        <v>87.7</v>
      </c>
      <c r="L20" s="5">
        <f>VLOOKUP($A$2,'Circuit Data'!$A$2:$ED$15,87,)</f>
        <v>78.099999999999994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5470</v>
      </c>
      <c r="H21" s="3">
        <f>VLOOKUP($A$2,'Circuit Data'!$A$2:$ED$15,97,)</f>
        <v>5051</v>
      </c>
      <c r="I21" s="3">
        <f>VLOOKUP($A$2,'Circuit Data'!$A$2:$ED$15,96,)</f>
        <v>4929</v>
      </c>
      <c r="J21" s="3">
        <f>VLOOKUP($A$2,'Circuit Data'!$A$2:$ED$15,95,)</f>
        <v>4767</v>
      </c>
      <c r="K21" s="3">
        <f>VLOOKUP($A$2,'Circuit Data'!$A$2:$ED$15,94,)</f>
        <v>4689</v>
      </c>
      <c r="L21" s="3">
        <f>VLOOKUP($A$2,'Circuit Data'!$A$2:$ED$15,93,)</f>
        <v>4464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876</v>
      </c>
      <c r="H22" s="3">
        <f>VLOOKUP($A$2,'Circuit Data'!$A$2:$ED$15,103,)</f>
        <v>674</v>
      </c>
      <c r="I22" s="3">
        <f>VLOOKUP($A$2,'Circuit Data'!$A$2:$ED$15,102,)</f>
        <v>559</v>
      </c>
      <c r="J22" s="3">
        <f>VLOOKUP($A$2,'Circuit Data'!$A$2:$ED$15,101,)</f>
        <v>636</v>
      </c>
      <c r="K22" s="3">
        <f>VLOOKUP($A$2,'Circuit Data'!$A$2:$ED$15,100,)</f>
        <v>632</v>
      </c>
      <c r="L22" s="3">
        <f>VLOOKUP($A$2,'Circuit Data'!$A$2:$ED$15,99,)</f>
        <v>640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223</v>
      </c>
      <c r="H23" s="3">
        <f>VLOOKUP($A$2,'Circuit Data'!$A$2:$ED$15,109,)</f>
        <v>168</v>
      </c>
      <c r="I23" s="3">
        <f>VLOOKUP($A$2,'Circuit Data'!$A$2:$ED$15,108,)</f>
        <v>163</v>
      </c>
      <c r="J23" s="3">
        <f>VLOOKUP($A$2,'Circuit Data'!$A$2:$ED$15,107,)</f>
        <v>173</v>
      </c>
      <c r="K23" s="3">
        <f>VLOOKUP($A$2,'Circuit Data'!$A$2:$ED$15,106,)</f>
        <v>172</v>
      </c>
      <c r="L23" s="3">
        <f>VLOOKUP($A$2,'Circuit Data'!$A$2:$ED$15,105,)</f>
        <v>157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289</v>
      </c>
      <c r="H24" s="3">
        <f>VLOOKUP($A$2,'Circuit Data'!$A$2:$ED$15,115,)</f>
        <v>217</v>
      </c>
      <c r="I24" s="3">
        <f>VLOOKUP($A$2,'Circuit Data'!$A$2:$ED$15,114,)</f>
        <v>176</v>
      </c>
      <c r="J24" s="3">
        <f>VLOOKUP($A$2,'Circuit Data'!$A$2:$ED$15,113,)</f>
        <v>198</v>
      </c>
      <c r="K24" s="3">
        <f>VLOOKUP($A$2,'Circuit Data'!$A$2:$ED$15,112,)</f>
        <v>201</v>
      </c>
      <c r="L24" s="3">
        <f>VLOOKUP($A$2,'Circuit Data'!$A$2:$ED$15,111,)</f>
        <v>195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32</v>
      </c>
      <c r="H25" s="3">
        <f>VLOOKUP($A$2,'Circuit Data'!$A$2:$ED$15,121,)</f>
        <v>28</v>
      </c>
      <c r="I25" s="3">
        <f>VLOOKUP($A$2,'Circuit Data'!$A$2:$ED$15,120,)</f>
        <v>23</v>
      </c>
      <c r="J25" s="3">
        <f>VLOOKUP($A$2,'Circuit Data'!$A$2:$ED$15,119,)</f>
        <v>25</v>
      </c>
      <c r="K25" s="3">
        <f>VLOOKUP($A$2,'Circuit Data'!$A$2:$ED$15,118,)</f>
        <v>24</v>
      </c>
      <c r="L25" s="3">
        <f>VLOOKUP($A$2,'Circuit Data'!$A$2:$ED$15,117,)</f>
        <v>21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256</v>
      </c>
      <c r="H26" s="3">
        <f>VLOOKUP($A$2,'Circuit Data'!$A$2:$ED$15,127,)</f>
        <v>188</v>
      </c>
      <c r="I26" s="3">
        <f>VLOOKUP($A$2,'Circuit Data'!$A$2:$ED$15,126,)</f>
        <v>152</v>
      </c>
      <c r="J26" s="3">
        <f>VLOOKUP($A$2,'Circuit Data'!$A$2:$ED$15,125,)</f>
        <v>173</v>
      </c>
      <c r="K26" s="3">
        <f>VLOOKUP($A$2,'Circuit Data'!$A$2:$ED$15,124,)</f>
        <v>176</v>
      </c>
      <c r="L26" s="3">
        <f>VLOOKUP($A$2,'Circuit Data'!$A$2:$ED$15,123,)</f>
        <v>173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>
        <f>VLOOKUP($A$2,'Circuit Data'!$A$2:$ED$15,134,)</f>
        <v>1</v>
      </c>
      <c r="H27" s="3">
        <f>VLOOKUP($A$2,'Circuit Data'!$A$2:$ED$15,133,)</f>
        <v>1</v>
      </c>
      <c r="I27" s="3">
        <f>VLOOKUP($A$2,'Circuit Data'!$A$2:$ED$15,132,)</f>
        <v>1</v>
      </c>
      <c r="J27" s="3" t="str">
        <f>VLOOKUP($A$2,'Circuit Data'!$A$2:$ED$15,131,)</f>
        <v>-</v>
      </c>
      <c r="K27" s="3">
        <f>VLOOKUP($A$2,'Circuit Data'!$A$2:$ED$15,130,)</f>
        <v>1</v>
      </c>
      <c r="L27" s="3">
        <f>VLOOKUP($A$2,'Circuit Data'!$A$2:$ED$15,129,)</f>
        <v>1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FIFTH CIRCUIT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17/5.7</v>
      </c>
      <c r="H34" s="3" t="str">
        <f>VLOOKUP($A$2,'Circuit Data2'!$A$2:$EP$15,12,)&amp;"/"&amp;TEXT(VLOOKUP($A$2,'Circuit Data2'!$A$2:$EP$15,13,),"0.0")</f>
        <v>17/5.7</v>
      </c>
      <c r="I34" s="3" t="str">
        <f>VLOOKUP($A$2,'Circuit Data2'!$A$2:$EP$15,10,)&amp;"/"&amp;TEXT(VLOOKUP($A$2,'Circuit Data2'!$A$2:$EP$15,11,),"0.0")</f>
        <v>17/5.7</v>
      </c>
      <c r="J34" s="3" t="str">
        <f>VLOOKUP($A$2,'Circuit Data2'!$A$2:$EP$15,8,)&amp;"/"&amp;TEXT(VLOOKUP($A$2,'Circuit Data2'!$A$2:$EP$15,9,),"0.0")</f>
        <v>17/5.7</v>
      </c>
      <c r="K34" s="3" t="str">
        <f>VLOOKUP($A$2,'Circuit Data2'!$A$2:$EP$15,6,)&amp;"/"&amp;TEXT(VLOOKUP($A$2,'Circuit Data2'!$A$2:$EP$15,7,),"0.0")</f>
        <v>17/5.7</v>
      </c>
      <c r="L34" s="3" t="str">
        <f>VLOOKUP($A$2,'Circuit Data2'!$A$2:$EP$15,4,)&amp;"/"&amp;TEXT(VLOOKUP($A$2,'Circuit Data2'!$A$2:$EP$15,5,),"0.0")</f>
        <v>17/5.7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4</v>
      </c>
      <c r="H35" s="3">
        <f>VLOOKUP($A$2,'Circuit Data2'!$A$2:$EP$15,20,)</f>
        <v>4</v>
      </c>
      <c r="I35" s="3">
        <f>VLOOKUP($A$2,'Circuit Data2'!$A$2:$EP$15,19,)</f>
        <v>5</v>
      </c>
      <c r="J35" s="3">
        <f>VLOOKUP($A$2,'Circuit Data2'!$A$2:$EP$15,18,)</f>
        <v>5</v>
      </c>
      <c r="K35" s="3">
        <f>VLOOKUP($A$2,'Circuit Data2'!$A$2:$EP$15,17,)</f>
        <v>6</v>
      </c>
      <c r="L35" s="3">
        <f>VLOOKUP($A$2,'Circuit Data2'!$A$2:$EP$15,16,)</f>
        <v>6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27</v>
      </c>
      <c r="H36" s="17">
        <f>VLOOKUP($A$2,'Circuit Data2'!$A$2:$EP$15,26,)</f>
        <v>7.2</v>
      </c>
      <c r="I36" s="17">
        <f>VLOOKUP($A$2,'Circuit Data2'!$A$2:$EP$15,25,)</f>
        <v>1.7</v>
      </c>
      <c r="J36" s="17">
        <f>VLOOKUP($A$2,'Circuit Data2'!$A$2:$EP$15,24,)</f>
        <v>12</v>
      </c>
      <c r="K36" s="17">
        <f>VLOOKUP($A$2,'Circuit Data2'!$A$2:$EP$15,23,)</f>
        <v>24</v>
      </c>
      <c r="L36" s="17">
        <f>VLOOKUP($A$2,'Circuit Data2'!$A$2:$EP$15,22,)</f>
        <v>11.4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1421</v>
      </c>
      <c r="H37" s="3">
        <f>VLOOKUP($A$2,'Circuit Data2'!$A$2:$EP$15,32,)</f>
        <v>1353</v>
      </c>
      <c r="I37" s="3">
        <f>VLOOKUP($A$2,'Circuit Data2'!$A$2:$EP$15,31,)</f>
        <v>1279</v>
      </c>
      <c r="J37" s="3">
        <f>VLOOKUP($A$2,'Circuit Data2'!$A$2:$EP$15,30,)</f>
        <v>1317</v>
      </c>
      <c r="K37" s="3">
        <f>VLOOKUP($A$2,'Circuit Data2'!$A$2:$EP$15,29,)</f>
        <v>1326</v>
      </c>
      <c r="L37" s="3">
        <f>VLOOKUP($A$2,'Circuit Data2'!$A$2:$EP$15,28,)</f>
        <v>1308</v>
      </c>
      <c r="M37" s="16">
        <f>VLOOKUP($A$2,'Circuit Data2'!$A$2:$EP$15,34,)</f>
        <v>2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455</v>
      </c>
      <c r="H38" s="3">
        <f>VLOOKUP($A$2,'Circuit Data2'!$A$2:$EP$15,39,)</f>
        <v>411</v>
      </c>
      <c r="I38" s="3">
        <f>VLOOKUP($A$2,'Circuit Data2'!$A$2:$EP$15,38,)</f>
        <v>396</v>
      </c>
      <c r="J38" s="3">
        <f>VLOOKUP($A$2,'Circuit Data2'!$A$2:$EP$15,37,)</f>
        <v>409</v>
      </c>
      <c r="K38" s="3">
        <f>VLOOKUP($A$2,'Circuit Data2'!$A$2:$EP$15,36,)</f>
        <v>417</v>
      </c>
      <c r="L38" s="3">
        <f>VLOOKUP($A$2,'Circuit Data2'!$A$2:$EP$15,35,)</f>
        <v>403</v>
      </c>
      <c r="M38" s="11">
        <f>VLOOKUP($A$2,'Circuit Data2'!$A$2:$EP$15,41,)</f>
        <v>2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421</v>
      </c>
      <c r="H39" s="3">
        <f>VLOOKUP($A$2,'Circuit Data2'!$A$2:$EP$15,46,)</f>
        <v>382</v>
      </c>
      <c r="I39" s="3">
        <f>VLOOKUP($A$2,'Circuit Data2'!$A$2:$EP$15,45,)</f>
        <v>351</v>
      </c>
      <c r="J39" s="3">
        <f>VLOOKUP($A$2,'Circuit Data2'!$A$2:$EP$15,44,)</f>
        <v>379</v>
      </c>
      <c r="K39" s="3">
        <f>VLOOKUP($A$2,'Circuit Data2'!$A$2:$EP$15,43,)</f>
        <v>382</v>
      </c>
      <c r="L39" s="3">
        <f>VLOOKUP($A$2,'Circuit Data2'!$A$2:$EP$15,42,)</f>
        <v>386</v>
      </c>
      <c r="M39" s="12">
        <f>VLOOKUP($A$2,'Circuit Data2'!$A$2:$EP$15,48,)</f>
        <v>4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449</v>
      </c>
      <c r="H40" s="3">
        <f>VLOOKUP($A$2,'Circuit Data2'!$A$2:$EP$15,53,)</f>
        <v>447</v>
      </c>
      <c r="I40" s="3">
        <f>VLOOKUP($A$2,'Circuit Data2'!$A$2:$EP$15,52,)</f>
        <v>445</v>
      </c>
      <c r="J40" s="3">
        <f>VLOOKUP($A$2,'Circuit Data2'!$A$2:$EP$15,51,)</f>
        <v>430</v>
      </c>
      <c r="K40" s="14">
        <f>VLOOKUP($A$2,'Circuit Data2'!$A$2:$EP$15,50,)</f>
        <v>432</v>
      </c>
      <c r="L40" s="3">
        <f>VLOOKUP($A$2,'Circuit Data2'!$A$2:$EP$15,49,)</f>
        <v>443</v>
      </c>
      <c r="M40" s="12">
        <f>VLOOKUP($A$2,'Circuit Data2'!$A$2:$EP$15,55,)</f>
        <v>1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96</v>
      </c>
      <c r="H41" s="3">
        <f>VLOOKUP($A$2,'Circuit Data2'!$A$2:$EP$15,60,)</f>
        <v>113</v>
      </c>
      <c r="I41" s="3">
        <f>VLOOKUP($A$2,'Circuit Data2'!$A$2:$EP$15,59,)</f>
        <v>87</v>
      </c>
      <c r="J41" s="3">
        <f>VLOOKUP($A$2,'Circuit Data2'!$A$2:$EP$15,58,)</f>
        <v>99</v>
      </c>
      <c r="K41" s="3">
        <f>VLOOKUP($A$2,'Circuit Data2'!$A$2:$EP$15,57,)</f>
        <v>95</v>
      </c>
      <c r="L41" s="3">
        <f>VLOOKUP($A$2,'Circuit Data2'!$A$2:$EP$15,56,)</f>
        <v>76</v>
      </c>
      <c r="M41" s="12">
        <f>VLOOKUP($A$2,'Circuit Data2'!$A$2:$EP$15,62,)</f>
        <v>7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1690</v>
      </c>
      <c r="H42" s="3">
        <f>VLOOKUP($A$2,'Circuit Data2'!$A$2:$EP$15,67,)</f>
        <v>1427</v>
      </c>
      <c r="I42" s="3">
        <f>VLOOKUP($A$2,'Circuit Data2'!$A$2:$EP$15,66,)</f>
        <v>1298</v>
      </c>
      <c r="J42" s="3">
        <f>VLOOKUP($A$2,'Circuit Data2'!$A$2:$EP$15,65,)</f>
        <v>1345</v>
      </c>
      <c r="K42" s="3">
        <f>VLOOKUP($A$2,'Circuit Data2'!$A$2:$EP$15,64,)</f>
        <v>1329</v>
      </c>
      <c r="L42" s="3">
        <f>VLOOKUP($A$2,'Circuit Data2'!$A$2:$EP$15,63,)</f>
        <v>1347</v>
      </c>
      <c r="M42" s="13">
        <f>VLOOKUP($A$2,'Circuit Data2'!$A$2:$EP$15,69,)</f>
        <v>2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27</v>
      </c>
      <c r="H43" s="15">
        <f>VLOOKUP($A$2,'Circuit Data2'!$A$2:$EP$15,74,)</f>
        <v>18</v>
      </c>
      <c r="I43" s="3">
        <f>VLOOKUP($A$2,'Circuit Data2'!$A$2:$EP$15,73,)</f>
        <v>22</v>
      </c>
      <c r="J43" s="3">
        <f>VLOOKUP($A$2,'Circuit Data2'!$A$2:$EP$15,72,)</f>
        <v>21</v>
      </c>
      <c r="K43" s="3">
        <f>VLOOKUP($A$2,'Circuit Data2'!$A$2:$EP$15,71,)</f>
        <v>21</v>
      </c>
      <c r="L43" s="3">
        <f>VLOOKUP($A$2,'Circuit Data2'!$A$2:$EP$15,70,)</f>
        <v>46</v>
      </c>
      <c r="M43" s="13">
        <f>VLOOKUP($A$2,'Circuit Data2'!$A$2:$EP$15,76,)</f>
        <v>3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785</v>
      </c>
      <c r="H44" s="3">
        <f>VLOOKUP($A$2,'Circuit Data2'!$A$2:$EP$15,81,)</f>
        <v>682</v>
      </c>
      <c r="I44" s="3">
        <f>VLOOKUP($A$2,'Circuit Data2'!$A$2:$EP$15,80,)</f>
        <v>643</v>
      </c>
      <c r="J44" s="3">
        <f>VLOOKUP($A$2,'Circuit Data2'!$A$2:$EP$15,79,)</f>
        <v>658</v>
      </c>
      <c r="K44" s="3">
        <f>VLOOKUP($A$2,'Circuit Data2'!$A$2:$EP$15,78,)</f>
        <v>640</v>
      </c>
      <c r="L44" s="3">
        <f>VLOOKUP($A$2,'Circuit Data2'!$A$2:$EP$15,77,)</f>
        <v>623</v>
      </c>
      <c r="M44" s="13">
        <f>VLOOKUP($A$2,'Circuit Data2'!$A$2:$EP$15,83,)</f>
        <v>2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878</v>
      </c>
      <c r="H45" s="3">
        <f>VLOOKUP($A$2,'Circuit Data2'!$A$2:$EP$15,88,)</f>
        <v>727</v>
      </c>
      <c r="I45" s="3">
        <f>VLOOKUP($A$2,'Circuit Data2'!$A$2:$EP$15,87,)</f>
        <v>633</v>
      </c>
      <c r="J45" s="3">
        <f>VLOOKUP($A$2,'Circuit Data2'!$A$2:$EP$15,86,)</f>
        <v>666</v>
      </c>
      <c r="K45" s="3">
        <f>VLOOKUP($A$2,'Circuit Data2'!$A$2:$EP$15,85,)</f>
        <v>668</v>
      </c>
      <c r="L45" s="3">
        <f>VLOOKUP($A$2,'Circuit Data2'!$A$2:$EP$15,84,)</f>
        <v>724</v>
      </c>
      <c r="M45" s="13">
        <f>VLOOKUP($A$2,'Circuit Data2'!$A$2:$EP$15,90,)</f>
        <v>3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92</v>
      </c>
      <c r="H46" s="3">
        <f>VLOOKUP($A$2,'Circuit Data2'!$A$2:$EP$15,95,)</f>
        <v>92</v>
      </c>
      <c r="I46" s="3">
        <f>VLOOKUP($A$2,'Circuit Data2'!$A$2:$EP$15,94,)</f>
        <v>76</v>
      </c>
      <c r="J46" s="3">
        <f>VLOOKUP($A$2,'Circuit Data2'!$A$2:$EP$15,93,)</f>
        <v>90</v>
      </c>
      <c r="K46" s="3">
        <f>VLOOKUP($A$2,'Circuit Data2'!$A$2:$EP$15,92,)</f>
        <v>80</v>
      </c>
      <c r="L46" s="3">
        <f>VLOOKUP($A$2,'Circuit Data2'!$A$2:$EP$15,91,)</f>
        <v>120</v>
      </c>
      <c r="M46" s="11">
        <f>VLOOKUP($A$2,'Circuit Data2'!$A$2:$EP$15,97,)</f>
        <v>4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236</v>
      </c>
      <c r="H47" s="3">
        <f>VLOOKUP($A$2,'Circuit Data2'!$A$2:$EP$15,102,)</f>
        <v>244</v>
      </c>
      <c r="I47" s="3">
        <f>VLOOKUP($A$2,'Circuit Data2'!$A$2:$EP$15,101,)</f>
        <v>222</v>
      </c>
      <c r="J47" s="3">
        <f>VLOOKUP($A$2,'Circuit Data2'!$A$2:$EP$15,100,)</f>
        <v>205</v>
      </c>
      <c r="K47" s="3">
        <f>VLOOKUP($A$2,'Circuit Data2'!$A$2:$EP$15,99,)</f>
        <v>207</v>
      </c>
      <c r="L47" s="15">
        <f>VLOOKUP($A$2,'Circuit Data2'!$A$2:$EP$15,98,)</f>
        <v>234</v>
      </c>
      <c r="M47" s="13">
        <f>VLOOKUP($A$2,'Circuit Data2'!$A$2:$EP$15,104,)</f>
        <v>4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491</v>
      </c>
      <c r="H48" s="3">
        <f>VLOOKUP($A$2,'Circuit Data2'!$A$2:$EP$15,109,)</f>
        <v>349</v>
      </c>
      <c r="I48" s="3">
        <f>VLOOKUP($A$2,'Circuit Data2'!$A$2:$EP$15,108,)</f>
        <v>289</v>
      </c>
      <c r="J48" s="3">
        <f>VLOOKUP($A$2,'Circuit Data2'!$A$2:$EP$15,107,)</f>
        <v>324</v>
      </c>
      <c r="K48" s="3">
        <f>VLOOKUP($A$2,'Circuit Data2'!$A$2:$EP$15,106,)</f>
        <v>338</v>
      </c>
      <c r="L48" s="3">
        <f>VLOOKUP($A$2,'Circuit Data2'!$A$2:$EP$15,105,)</f>
        <v>335</v>
      </c>
      <c r="M48" s="13">
        <f>VLOOKUP($A$2,'Circuit Data2'!$A$2:$EP$15,111,)</f>
        <v>2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59</v>
      </c>
      <c r="H49" s="3">
        <f>VLOOKUP($A$2,'Circuit Data2'!$A$2:$EP$15,116,)</f>
        <v>42</v>
      </c>
      <c r="I49" s="3">
        <f>VLOOKUP($A$2,'Circuit Data2'!$A$2:$EP$15,115,)</f>
        <v>46</v>
      </c>
      <c r="J49" s="3">
        <f>VLOOKUP($A$2,'Circuit Data2'!$A$2:$EP$15,114,)</f>
        <v>47</v>
      </c>
      <c r="K49" s="3">
        <f>VLOOKUP($A$2,'Circuit Data2'!$A$2:$EP$15,113,)</f>
        <v>43</v>
      </c>
      <c r="L49" s="3">
        <f>VLOOKUP($A$2,'Circuit Data2'!$A$2:$EP$15,112,)</f>
        <v>35</v>
      </c>
      <c r="M49" s="13">
        <f>VLOOKUP($A$2,'Circuit Data2'!$A$2:$EP$15,118,)</f>
        <v>8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965</v>
      </c>
      <c r="H50" s="3">
        <f>VLOOKUP($A$2,'Circuit Data2'!$A$2:$EP$15,123,)</f>
        <v>891</v>
      </c>
      <c r="I50" s="3">
        <f>VLOOKUP($A$2,'Circuit Data2'!$A$2:$EP$15,122,)</f>
        <v>870</v>
      </c>
      <c r="J50" s="3">
        <f>VLOOKUP($A$2,'Circuit Data2'!$A$2:$EP$15,121,)</f>
        <v>841</v>
      </c>
      <c r="K50" s="3">
        <f>VLOOKUP($A$2,'Circuit Data2'!$A$2:$EP$15,120,)</f>
        <v>827</v>
      </c>
      <c r="L50" s="3">
        <f>VLOOKUP($A$2,'Circuit Data2'!$A$2:$EP$15,119,)</f>
        <v>788</v>
      </c>
      <c r="M50" s="13">
        <f>VLOOKUP($A$2,'Circuit Data2'!$A$2:$EP$15,125,)</f>
        <v>5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12.1</v>
      </c>
      <c r="H51" s="10">
        <f>VLOOKUP($A$2,'Circuit Data2'!$A$2:$EP$15,130,)</f>
        <v>11.3</v>
      </c>
      <c r="I51" s="5">
        <f>VLOOKUP($A$2,'Circuit Data2'!$A$2:$EP$15,129,)</f>
        <v>11</v>
      </c>
      <c r="J51" s="5">
        <f>VLOOKUP($A$2,'Circuit Data2'!$A$2:$EP$15,128,)</f>
        <v>10.6</v>
      </c>
      <c r="K51" s="5">
        <f>VLOOKUP($A$2,'Circuit Data2'!$A$2:$EP$15,127,)</f>
        <v>10.9</v>
      </c>
      <c r="L51" s="5">
        <f>VLOOKUP($A$2,'Circuit Data2'!$A$2:$EP$15,126,)</f>
        <v>9.8000000000000007</v>
      </c>
      <c r="M51" s="12">
        <f>VLOOKUP($A$2,'Circuit Data2'!$A$2:$EP$15,132,)</f>
        <v>7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1</v>
      </c>
      <c r="H52" s="3">
        <f>VLOOKUP($A$2,'Circuit Data2'!$A$2:$EP$15,137,)</f>
        <v>1</v>
      </c>
      <c r="I52" s="3">
        <f>VLOOKUP($A$2,'Circuit Data2'!$A$2:$EP$15,136,)</f>
        <v>1</v>
      </c>
      <c r="J52" s="3">
        <f>VLOOKUP($A$2,'Circuit Data2'!$A$2:$EP$15,135,)</f>
        <v>1</v>
      </c>
      <c r="K52" s="3">
        <f>VLOOKUP($A$2,'Circuit Data2'!$A$2:$EP$15,134,)</f>
        <v>1</v>
      </c>
      <c r="L52" s="3">
        <f>VLOOKUP($A$2,'Circuit Data2'!$A$2:$EP$15,133,)</f>
        <v>1</v>
      </c>
      <c r="M52" s="11">
        <f>VLOOKUP($A$2,'Circuit Data2'!$A$2:$EP$15,139,)</f>
        <v>8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29</v>
      </c>
      <c r="H53" s="3">
        <f>VLOOKUP($A$2,'Circuit Data2'!$A$2:$EP$15,144,)</f>
        <v>35</v>
      </c>
      <c r="I53" s="3">
        <f>VLOOKUP($A$2,'Circuit Data2'!$A$2:$EP$15,143,)</f>
        <v>31</v>
      </c>
      <c r="J53" s="3">
        <f>VLOOKUP($A$2,'Circuit Data2'!$A$2:$EP$15,142,)</f>
        <v>28</v>
      </c>
      <c r="K53" s="3">
        <f>VLOOKUP($A$2,'Circuit Data2'!$A$2:$EP$15,141,)</f>
        <v>27</v>
      </c>
      <c r="L53" s="3">
        <f>VLOOKUP($A$2,'Circuit Data2'!$A$2:$EP$15,140,)</f>
        <v>31</v>
      </c>
      <c r="M53" s="11">
        <f>VLOOKUP($A$2,'Circuit Data2'!$A$2:$EP$15,146,)</f>
        <v>9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236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4818</v>
      </c>
      <c r="H5" s="3">
        <f>VLOOKUP($A$2,'Circuit Data'!$A$2:$ED$15,7,)</f>
        <v>4853</v>
      </c>
      <c r="I5" s="3">
        <f>VLOOKUP($A$2,'Circuit Data'!$A$2:$ED$15,6,)</f>
        <v>4859</v>
      </c>
      <c r="J5" s="3">
        <f>VLOOKUP($A$2,'Circuit Data'!$A$2:$ED$15,5,)</f>
        <v>4954</v>
      </c>
      <c r="K5" s="3">
        <f>VLOOKUP($A$2,'Circuit Data'!$A$2:$ED$15,4,)</f>
        <v>4983</v>
      </c>
      <c r="L5" s="3">
        <f>VLOOKUP($A$2,'Circuit Data'!$A$2:$ED$15,3,)</f>
        <v>4734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1321</v>
      </c>
      <c r="H6" s="3">
        <f>VLOOKUP($A$2,'Circuit Data'!$A$2:$ED$15,13,)</f>
        <v>1357</v>
      </c>
      <c r="I6" s="3">
        <f>VLOOKUP($A$2,'Circuit Data'!$A$2:$ED$15,12,)</f>
        <v>1420</v>
      </c>
      <c r="J6" s="3">
        <f>VLOOKUP($A$2,'Circuit Data'!$A$2:$ED$15,11,)</f>
        <v>1543</v>
      </c>
      <c r="K6" s="3">
        <f>VLOOKUP($A$2,'Circuit Data'!$A$2:$ED$15,10,)</f>
        <v>1513</v>
      </c>
      <c r="L6" s="3">
        <f>VLOOKUP($A$2,'Circuit Data'!$A$2:$ED$15,9,)</f>
        <v>1471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1906</v>
      </c>
      <c r="H7" s="3">
        <f>VLOOKUP($A$2,'Circuit Data'!$A$2:$ED$15,19,)</f>
        <v>1904</v>
      </c>
      <c r="I7" s="3">
        <f>VLOOKUP($A$2,'Circuit Data'!$A$2:$ED$15,18,)</f>
        <v>1763</v>
      </c>
      <c r="J7" s="3">
        <f>VLOOKUP($A$2,'Circuit Data'!$A$2:$ED$15,17,)</f>
        <v>1867</v>
      </c>
      <c r="K7" s="3">
        <f>VLOOKUP($A$2,'Circuit Data'!$A$2:$ED$15,16,)</f>
        <v>1871</v>
      </c>
      <c r="L7" s="3">
        <f>VLOOKUP($A$2,'Circuit Data'!$A$2:$ED$15,15,)</f>
        <v>1758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1196</v>
      </c>
      <c r="H8" s="3">
        <f>VLOOKUP($A$2,'Circuit Data'!$A$2:$ED$15,25,)</f>
        <v>1168</v>
      </c>
      <c r="I8" s="3">
        <f>VLOOKUP($A$2,'Circuit Data'!$A$2:$ED$15,24,)</f>
        <v>1255</v>
      </c>
      <c r="J8" s="3">
        <f>VLOOKUP($A$2,'Circuit Data'!$A$2:$ED$15,23,)</f>
        <v>1146</v>
      </c>
      <c r="K8" s="3">
        <f>VLOOKUP($A$2,'Circuit Data'!$A$2:$ED$15,22,)</f>
        <v>1199</v>
      </c>
      <c r="L8" s="3">
        <f>VLOOKUP($A$2,'Circuit Data'!$A$2:$ED$15,21,)</f>
        <v>1172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395</v>
      </c>
      <c r="H9" s="3">
        <f>VLOOKUP($A$2,'Circuit Data'!$A$2:$ED$15,31,)</f>
        <v>424</v>
      </c>
      <c r="I9" s="3">
        <f>VLOOKUP($A$2,'Circuit Data'!$A$2:$ED$15,30,)</f>
        <v>421</v>
      </c>
      <c r="J9" s="3">
        <f>VLOOKUP($A$2,'Circuit Data'!$A$2:$ED$15,29,)</f>
        <v>398</v>
      </c>
      <c r="K9" s="3">
        <f>VLOOKUP($A$2,'Circuit Data'!$A$2:$ED$15,28,)</f>
        <v>400</v>
      </c>
      <c r="L9" s="3">
        <f>VLOOKUP($A$2,'Circuit Data'!$A$2:$ED$15,27,)</f>
        <v>333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-5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-1.8</v>
      </c>
      <c r="H11" s="5">
        <f>VLOOKUP($A$2,'Circuit Data'!$A$2:$ED$15,37,)</f>
        <v>-2.5</v>
      </c>
      <c r="I11" s="5">
        <f>VLOOKUP($A$2,'Circuit Data'!$A$2:$ED$15,36,)</f>
        <v>-2.6</v>
      </c>
      <c r="J11" s="5">
        <f>VLOOKUP($A$2,'Circuit Data'!$A$2:$ED$15,35,)</f>
        <v>-4.5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4962</v>
      </c>
      <c r="H12" s="9">
        <f>VLOOKUP($A$2,'Circuit Data'!$A$2:$ED$15,43,)</f>
        <v>4781</v>
      </c>
      <c r="I12" s="3">
        <f>VLOOKUP($A$2,'Circuit Data'!$A$2:$ED$15,42,)</f>
        <v>4812</v>
      </c>
      <c r="J12" s="3">
        <f>VLOOKUP($A$2,'Circuit Data'!$A$2:$ED$15,41,)</f>
        <v>4440</v>
      </c>
      <c r="K12" s="3">
        <f>VLOOKUP($A$2,'Circuit Data'!$A$2:$ED$15,40,)</f>
        <v>4324</v>
      </c>
      <c r="L12" s="3">
        <f>VLOOKUP($A$2,'Circuit Data'!$A$2:$ED$15,39,)</f>
        <v>5281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238</v>
      </c>
      <c r="H13" s="3">
        <f>VLOOKUP($A$2,'Circuit Data'!$A$2:$ED$15,49,)</f>
        <v>216</v>
      </c>
      <c r="I13" s="3">
        <f>VLOOKUP($A$2,'Circuit Data'!$A$2:$ED$15,48,)</f>
        <v>221</v>
      </c>
      <c r="J13" s="3">
        <f>VLOOKUP($A$2,'Circuit Data'!$A$2:$ED$15,47,)</f>
        <v>163</v>
      </c>
      <c r="K13" s="3">
        <f>VLOOKUP($A$2,'Circuit Data'!$A$2:$ED$15,46,)</f>
        <v>146</v>
      </c>
      <c r="L13" s="3">
        <f>VLOOKUP($A$2,'Circuit Data'!$A$2:$ED$15,45,)</f>
        <v>182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2009</v>
      </c>
      <c r="H14" s="3">
        <f>VLOOKUP($A$2,'Circuit Data'!$A$2:$ED$15,55,)</f>
        <v>1996</v>
      </c>
      <c r="I14" s="3">
        <f>VLOOKUP($A$2,'Circuit Data'!$A$2:$ED$15,54,)</f>
        <v>2223</v>
      </c>
      <c r="J14" s="3">
        <f>VLOOKUP($A$2,'Circuit Data'!$A$2:$ED$15,53,)</f>
        <v>1927</v>
      </c>
      <c r="K14" s="3">
        <f>VLOOKUP($A$2,'Circuit Data'!$A$2:$ED$15,52,)</f>
        <v>1965</v>
      </c>
      <c r="L14" s="3">
        <f>VLOOKUP($A$2,'Circuit Data'!$A$2:$ED$15,51,)</f>
        <v>2203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2715</v>
      </c>
      <c r="H15" s="3">
        <f>VLOOKUP($A$2,'Circuit Data'!$A$2:$ED$15,61,)</f>
        <v>2569</v>
      </c>
      <c r="I15" s="3">
        <f>VLOOKUP($A$2,'Circuit Data'!$A$2:$ED$15,60,)</f>
        <v>2368</v>
      </c>
      <c r="J15" s="3">
        <f>VLOOKUP($A$2,'Circuit Data'!$A$2:$ED$15,59,)</f>
        <v>2350</v>
      </c>
      <c r="K15" s="3">
        <f>VLOOKUP($A$2,'Circuit Data'!$A$2:$ED$15,58,)</f>
        <v>2213</v>
      </c>
      <c r="L15" s="3">
        <f>VLOOKUP($A$2,'Circuit Data'!$A$2:$ED$15,57,)</f>
        <v>3078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416</v>
      </c>
      <c r="H16" s="3">
        <f>VLOOKUP($A$2,'Circuit Data'!$A$2:$ED$15,67,)</f>
        <v>400</v>
      </c>
      <c r="I16" s="3">
        <f>VLOOKUP($A$2,'Circuit Data'!$A$2:$ED$15,66,)</f>
        <v>381</v>
      </c>
      <c r="J16" s="3">
        <f>VLOOKUP($A$2,'Circuit Data'!$A$2:$ED$15,65,)</f>
        <v>441</v>
      </c>
      <c r="K16" s="3">
        <f>VLOOKUP($A$2,'Circuit Data'!$A$2:$ED$15,64,)</f>
        <v>407</v>
      </c>
      <c r="L16" s="3">
        <f>VLOOKUP($A$2,'Circuit Data'!$A$2:$ED$15,63,)</f>
        <v>591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1195</v>
      </c>
      <c r="H17" s="3">
        <f>VLOOKUP($A$2,'Circuit Data'!$A$2:$ED$15,73,)</f>
        <v>1113</v>
      </c>
      <c r="I17" s="3">
        <f>VLOOKUP($A$2,'Circuit Data'!$A$2:$ED$15,72,)</f>
        <v>981</v>
      </c>
      <c r="J17" s="3">
        <f>VLOOKUP($A$2,'Circuit Data'!$A$2:$ED$15,71,)</f>
        <v>928</v>
      </c>
      <c r="K17" s="3">
        <f>VLOOKUP($A$2,'Circuit Data'!$A$2:$ED$15,70,)</f>
        <v>838</v>
      </c>
      <c r="L17" s="3">
        <f>VLOOKUP($A$2,'Circuit Data'!$A$2:$ED$15,69,)</f>
        <v>1119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818</v>
      </c>
      <c r="H18" s="3">
        <f>VLOOKUP($A$2,'Circuit Data'!$A$2:$ED$15,79,)</f>
        <v>765</v>
      </c>
      <c r="I18" s="3">
        <f>VLOOKUP($A$2,'Circuit Data'!$A$2:$ED$15,78,)</f>
        <v>720</v>
      </c>
      <c r="J18" s="3">
        <f>VLOOKUP($A$2,'Circuit Data'!$A$2:$ED$15,77,)</f>
        <v>761</v>
      </c>
      <c r="K18" s="3">
        <f>VLOOKUP($A$2,'Circuit Data'!$A$2:$ED$15,76,)</f>
        <v>758</v>
      </c>
      <c r="L18" s="3">
        <f>VLOOKUP($A$2,'Circuit Data'!$A$2:$ED$15,75,)</f>
        <v>1107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286</v>
      </c>
      <c r="H19" s="3">
        <f>VLOOKUP($A$2,'Circuit Data'!$A$2:$ED$15,85,)</f>
        <v>291</v>
      </c>
      <c r="I19" s="3">
        <f>VLOOKUP($A$2,'Circuit Data'!$A$2:$ED$15,84,)</f>
        <v>286</v>
      </c>
      <c r="J19" s="3">
        <f>VLOOKUP($A$2,'Circuit Data'!$A$2:$ED$15,83,)</f>
        <v>220</v>
      </c>
      <c r="K19" s="3">
        <f>VLOOKUP($A$2,'Circuit Data'!$A$2:$ED$15,82,)</f>
        <v>210</v>
      </c>
      <c r="L19" s="3">
        <f>VLOOKUP($A$2,'Circuit Data'!$A$2:$ED$15,81,)</f>
        <v>261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66</v>
      </c>
      <c r="H20" s="5">
        <f>VLOOKUP($A$2,'Circuit Data'!$A$2:$ED$15,91,)</f>
        <v>68.3</v>
      </c>
      <c r="I20" s="5">
        <f>VLOOKUP($A$2,'Circuit Data'!$A$2:$ED$15,90,)</f>
        <v>69.3</v>
      </c>
      <c r="J20" s="5">
        <f>VLOOKUP($A$2,'Circuit Data'!$A$2:$ED$15,89,)</f>
        <v>65.900000000000006</v>
      </c>
      <c r="K20" s="5">
        <f>VLOOKUP($A$2,'Circuit Data'!$A$2:$ED$15,88,)</f>
        <v>65.2</v>
      </c>
      <c r="L20" s="5">
        <f>VLOOKUP($A$2,'Circuit Data'!$A$2:$ED$15,87,)</f>
        <v>60.8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4371</v>
      </c>
      <c r="H21" s="3">
        <f>VLOOKUP($A$2,'Circuit Data'!$A$2:$ED$15,97,)</f>
        <v>4445</v>
      </c>
      <c r="I21" s="3">
        <f>VLOOKUP($A$2,'Circuit Data'!$A$2:$ED$15,96,)</f>
        <v>4497</v>
      </c>
      <c r="J21" s="3">
        <f>VLOOKUP($A$2,'Circuit Data'!$A$2:$ED$15,95,)</f>
        <v>5109</v>
      </c>
      <c r="K21" s="3">
        <f>VLOOKUP($A$2,'Circuit Data'!$A$2:$ED$15,94,)</f>
        <v>5309</v>
      </c>
      <c r="L21" s="3">
        <f>VLOOKUP($A$2,'Circuit Data'!$A$2:$ED$15,93,)</f>
        <v>4769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383</v>
      </c>
      <c r="H22" s="3">
        <f>VLOOKUP($A$2,'Circuit Data'!$A$2:$ED$15,103,)</f>
        <v>377</v>
      </c>
      <c r="I22" s="3">
        <f>VLOOKUP($A$2,'Circuit Data'!$A$2:$ED$15,102,)</f>
        <v>326</v>
      </c>
      <c r="J22" s="3">
        <f>VLOOKUP($A$2,'Circuit Data'!$A$2:$ED$15,101,)</f>
        <v>310</v>
      </c>
      <c r="K22" s="3">
        <f>VLOOKUP($A$2,'Circuit Data'!$A$2:$ED$15,100,)</f>
        <v>293</v>
      </c>
      <c r="L22" s="3">
        <f>VLOOKUP($A$2,'Circuit Data'!$A$2:$ED$15,99,)</f>
        <v>401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86</v>
      </c>
      <c r="H23" s="3">
        <f>VLOOKUP($A$2,'Circuit Data'!$A$2:$ED$15,109,)</f>
        <v>84</v>
      </c>
      <c r="I23" s="3">
        <f>VLOOKUP($A$2,'Circuit Data'!$A$2:$ED$15,108,)</f>
        <v>87</v>
      </c>
      <c r="J23" s="3">
        <f>VLOOKUP($A$2,'Circuit Data'!$A$2:$ED$15,107,)</f>
        <v>70</v>
      </c>
      <c r="K23" s="3">
        <f>VLOOKUP($A$2,'Circuit Data'!$A$2:$ED$15,106,)</f>
        <v>75</v>
      </c>
      <c r="L23" s="3">
        <f>VLOOKUP($A$2,'Circuit Data'!$A$2:$ED$15,105,)</f>
        <v>89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145</v>
      </c>
      <c r="H24" s="3">
        <f>VLOOKUP($A$2,'Circuit Data'!$A$2:$ED$15,115,)</f>
        <v>151</v>
      </c>
      <c r="I24" s="3">
        <f>VLOOKUP($A$2,'Circuit Data'!$A$2:$ED$15,114,)</f>
        <v>123</v>
      </c>
      <c r="J24" s="3">
        <f>VLOOKUP($A$2,'Circuit Data'!$A$2:$ED$15,113,)</f>
        <v>103</v>
      </c>
      <c r="K24" s="3">
        <f>VLOOKUP($A$2,'Circuit Data'!$A$2:$ED$15,112,)</f>
        <v>97</v>
      </c>
      <c r="L24" s="3">
        <f>VLOOKUP($A$2,'Circuit Data'!$A$2:$ED$15,111,)</f>
        <v>127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55</v>
      </c>
      <c r="H25" s="3">
        <f>VLOOKUP($A$2,'Circuit Data'!$A$2:$ED$15,121,)</f>
        <v>53</v>
      </c>
      <c r="I25" s="3">
        <f>VLOOKUP($A$2,'Circuit Data'!$A$2:$ED$15,120,)</f>
        <v>55</v>
      </c>
      <c r="J25" s="3">
        <f>VLOOKUP($A$2,'Circuit Data'!$A$2:$ED$15,119,)</f>
        <v>51</v>
      </c>
      <c r="K25" s="3">
        <f>VLOOKUP($A$2,'Circuit Data'!$A$2:$ED$15,118,)</f>
        <v>51</v>
      </c>
      <c r="L25" s="3">
        <f>VLOOKUP($A$2,'Circuit Data'!$A$2:$ED$15,117,)</f>
        <v>50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88</v>
      </c>
      <c r="H26" s="3">
        <f>VLOOKUP($A$2,'Circuit Data'!$A$2:$ED$15,127,)</f>
        <v>96</v>
      </c>
      <c r="I26" s="3">
        <f>VLOOKUP($A$2,'Circuit Data'!$A$2:$ED$15,126,)</f>
        <v>68</v>
      </c>
      <c r="J26" s="3">
        <f>VLOOKUP($A$2,'Circuit Data'!$A$2:$ED$15,125,)</f>
        <v>52</v>
      </c>
      <c r="K26" s="3">
        <f>VLOOKUP($A$2,'Circuit Data'!$A$2:$ED$15,124,)</f>
        <v>46</v>
      </c>
      <c r="L26" s="3">
        <f>VLOOKUP($A$2,'Circuit Data'!$A$2:$ED$15,123,)</f>
        <v>76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>
        <f>VLOOKUP($A$2,'Circuit Data'!$A$2:$ED$15,134,)</f>
        <v>2</v>
      </c>
      <c r="H27" s="3">
        <f>VLOOKUP($A$2,'Circuit Data'!$A$2:$ED$15,133,)</f>
        <v>2</v>
      </c>
      <c r="I27" s="3" t="str">
        <f>VLOOKUP($A$2,'Circuit Data'!$A$2:$ED$15,132,)</f>
        <v>-</v>
      </c>
      <c r="J27" s="3" t="str">
        <f>VLOOKUP($A$2,'Circuit Data'!$A$2:$ED$15,131,)</f>
        <v>-</v>
      </c>
      <c r="K27" s="3" t="str">
        <f>VLOOKUP($A$2,'Circuit Data'!$A$2:$ED$15,130,)</f>
        <v>-</v>
      </c>
      <c r="L27" s="3">
        <f>VLOOKUP($A$2,'Circuit Data'!$A$2:$ED$15,129,)</f>
        <v>1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SIXTH CIRCUIT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16/5.3</v>
      </c>
      <c r="H34" s="3" t="str">
        <f>VLOOKUP($A$2,'Circuit Data2'!$A$2:$EP$15,12,)&amp;"/"&amp;TEXT(VLOOKUP($A$2,'Circuit Data2'!$A$2:$EP$15,13,),"0.0")</f>
        <v>16/5.3</v>
      </c>
      <c r="I34" s="3" t="str">
        <f>VLOOKUP($A$2,'Circuit Data2'!$A$2:$EP$15,10,)&amp;"/"&amp;TEXT(VLOOKUP($A$2,'Circuit Data2'!$A$2:$EP$15,11,),"0.0")</f>
        <v>16/5.3</v>
      </c>
      <c r="J34" s="3" t="str">
        <f>VLOOKUP($A$2,'Circuit Data2'!$A$2:$EP$15,8,)&amp;"/"&amp;TEXT(VLOOKUP($A$2,'Circuit Data2'!$A$2:$EP$15,9,),"0.0")</f>
        <v>16/5.3</v>
      </c>
      <c r="K34" s="3" t="str">
        <f>VLOOKUP($A$2,'Circuit Data2'!$A$2:$EP$15,6,)&amp;"/"&amp;TEXT(VLOOKUP($A$2,'Circuit Data2'!$A$2:$EP$15,7,),"0.0")</f>
        <v>16/5.3</v>
      </c>
      <c r="L34" s="3" t="str">
        <f>VLOOKUP($A$2,'Circuit Data2'!$A$2:$EP$15,4,)&amp;"/"&amp;TEXT(VLOOKUP($A$2,'Circuit Data2'!$A$2:$EP$15,5,),"0.0")</f>
        <v>16/5.3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8</v>
      </c>
      <c r="H35" s="3">
        <f>VLOOKUP($A$2,'Circuit Data2'!$A$2:$EP$15,20,)</f>
        <v>8</v>
      </c>
      <c r="I35" s="3">
        <f>VLOOKUP($A$2,'Circuit Data2'!$A$2:$EP$15,19,)</f>
        <v>9</v>
      </c>
      <c r="J35" s="3">
        <f>VLOOKUP($A$2,'Circuit Data2'!$A$2:$EP$15,18,)</f>
        <v>9</v>
      </c>
      <c r="K35" s="3">
        <f>VLOOKUP($A$2,'Circuit Data2'!$A$2:$EP$15,17,)</f>
        <v>10</v>
      </c>
      <c r="L35" s="3">
        <f>VLOOKUP($A$2,'Circuit Data2'!$A$2:$EP$15,16,)</f>
        <v>9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24</v>
      </c>
      <c r="H36" s="17">
        <f>VLOOKUP($A$2,'Circuit Data2'!$A$2:$EP$15,26,)</f>
        <v>17.5</v>
      </c>
      <c r="I36" s="17">
        <f>VLOOKUP($A$2,'Circuit Data2'!$A$2:$EP$15,25,)</f>
        <v>8.9</v>
      </c>
      <c r="J36" s="17">
        <f>VLOOKUP($A$2,'Circuit Data2'!$A$2:$EP$15,24,)</f>
        <v>12</v>
      </c>
      <c r="K36" s="17">
        <f>VLOOKUP($A$2,'Circuit Data2'!$A$2:$EP$15,23,)</f>
        <v>9.6999999999999993</v>
      </c>
      <c r="L36" s="17">
        <f>VLOOKUP($A$2,'Circuit Data2'!$A$2:$EP$15,22,)</f>
        <v>8.1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903</v>
      </c>
      <c r="H37" s="3">
        <f>VLOOKUP($A$2,'Circuit Data2'!$A$2:$EP$15,32,)</f>
        <v>910</v>
      </c>
      <c r="I37" s="3">
        <f>VLOOKUP($A$2,'Circuit Data2'!$A$2:$EP$15,31,)</f>
        <v>911</v>
      </c>
      <c r="J37" s="3">
        <f>VLOOKUP($A$2,'Circuit Data2'!$A$2:$EP$15,30,)</f>
        <v>929</v>
      </c>
      <c r="K37" s="3">
        <f>VLOOKUP($A$2,'Circuit Data2'!$A$2:$EP$15,29,)</f>
        <v>934</v>
      </c>
      <c r="L37" s="3">
        <f>VLOOKUP($A$2,'Circuit Data2'!$A$2:$EP$15,28,)</f>
        <v>888</v>
      </c>
      <c r="M37" s="16">
        <f>VLOOKUP($A$2,'Circuit Data2'!$A$2:$EP$15,34,)</f>
        <v>6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248</v>
      </c>
      <c r="H38" s="3">
        <f>VLOOKUP($A$2,'Circuit Data2'!$A$2:$EP$15,39,)</f>
        <v>254</v>
      </c>
      <c r="I38" s="3">
        <f>VLOOKUP($A$2,'Circuit Data2'!$A$2:$EP$15,38,)</f>
        <v>266</v>
      </c>
      <c r="J38" s="3">
        <f>VLOOKUP($A$2,'Circuit Data2'!$A$2:$EP$15,37,)</f>
        <v>289</v>
      </c>
      <c r="K38" s="3">
        <f>VLOOKUP($A$2,'Circuit Data2'!$A$2:$EP$15,36,)</f>
        <v>284</v>
      </c>
      <c r="L38" s="3">
        <f>VLOOKUP($A$2,'Circuit Data2'!$A$2:$EP$15,35,)</f>
        <v>276</v>
      </c>
      <c r="M38" s="11">
        <f>VLOOKUP($A$2,'Circuit Data2'!$A$2:$EP$15,41,)</f>
        <v>5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357</v>
      </c>
      <c r="H39" s="3">
        <f>VLOOKUP($A$2,'Circuit Data2'!$A$2:$EP$15,46,)</f>
        <v>357</v>
      </c>
      <c r="I39" s="3">
        <f>VLOOKUP($A$2,'Circuit Data2'!$A$2:$EP$15,45,)</f>
        <v>331</v>
      </c>
      <c r="J39" s="3">
        <f>VLOOKUP($A$2,'Circuit Data2'!$A$2:$EP$15,44,)</f>
        <v>350</v>
      </c>
      <c r="K39" s="3">
        <f>VLOOKUP($A$2,'Circuit Data2'!$A$2:$EP$15,43,)</f>
        <v>350</v>
      </c>
      <c r="L39" s="3">
        <f>VLOOKUP($A$2,'Circuit Data2'!$A$2:$EP$15,42,)</f>
        <v>330</v>
      </c>
      <c r="M39" s="12">
        <f>VLOOKUP($A$2,'Circuit Data2'!$A$2:$EP$15,48,)</f>
        <v>6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224</v>
      </c>
      <c r="H40" s="3">
        <f>VLOOKUP($A$2,'Circuit Data2'!$A$2:$EP$15,53,)</f>
        <v>219</v>
      </c>
      <c r="I40" s="3">
        <f>VLOOKUP($A$2,'Circuit Data2'!$A$2:$EP$15,52,)</f>
        <v>235</v>
      </c>
      <c r="J40" s="3">
        <f>VLOOKUP($A$2,'Circuit Data2'!$A$2:$EP$15,51,)</f>
        <v>215</v>
      </c>
      <c r="K40" s="14">
        <f>VLOOKUP($A$2,'Circuit Data2'!$A$2:$EP$15,50,)</f>
        <v>225</v>
      </c>
      <c r="L40" s="3">
        <f>VLOOKUP($A$2,'Circuit Data2'!$A$2:$EP$15,49,)</f>
        <v>220</v>
      </c>
      <c r="M40" s="12">
        <f>VLOOKUP($A$2,'Circuit Data2'!$A$2:$EP$15,55,)</f>
        <v>6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74</v>
      </c>
      <c r="H41" s="3">
        <f>VLOOKUP($A$2,'Circuit Data2'!$A$2:$EP$15,60,)</f>
        <v>80</v>
      </c>
      <c r="I41" s="3">
        <f>VLOOKUP($A$2,'Circuit Data2'!$A$2:$EP$15,59,)</f>
        <v>79</v>
      </c>
      <c r="J41" s="3">
        <f>VLOOKUP($A$2,'Circuit Data2'!$A$2:$EP$15,58,)</f>
        <v>75</v>
      </c>
      <c r="K41" s="3">
        <f>VLOOKUP($A$2,'Circuit Data2'!$A$2:$EP$15,57,)</f>
        <v>75</v>
      </c>
      <c r="L41" s="3">
        <f>VLOOKUP($A$2,'Circuit Data2'!$A$2:$EP$15,56,)</f>
        <v>62</v>
      </c>
      <c r="M41" s="12">
        <f>VLOOKUP($A$2,'Circuit Data2'!$A$2:$EP$15,62,)</f>
        <v>8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930</v>
      </c>
      <c r="H42" s="3">
        <f>VLOOKUP($A$2,'Circuit Data2'!$A$2:$EP$15,67,)</f>
        <v>896</v>
      </c>
      <c r="I42" s="3">
        <f>VLOOKUP($A$2,'Circuit Data2'!$A$2:$EP$15,66,)</f>
        <v>902</v>
      </c>
      <c r="J42" s="3">
        <f>VLOOKUP($A$2,'Circuit Data2'!$A$2:$EP$15,65,)</f>
        <v>833</v>
      </c>
      <c r="K42" s="3">
        <f>VLOOKUP($A$2,'Circuit Data2'!$A$2:$EP$15,64,)</f>
        <v>811</v>
      </c>
      <c r="L42" s="3">
        <f>VLOOKUP($A$2,'Circuit Data2'!$A$2:$EP$15,63,)</f>
        <v>990</v>
      </c>
      <c r="M42" s="13">
        <f>VLOOKUP($A$2,'Circuit Data2'!$A$2:$EP$15,69,)</f>
        <v>6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44</v>
      </c>
      <c r="H43" s="15">
        <f>VLOOKUP($A$2,'Circuit Data2'!$A$2:$EP$15,74,)</f>
        <v>40</v>
      </c>
      <c r="I43" s="3">
        <f>VLOOKUP($A$2,'Circuit Data2'!$A$2:$EP$15,73,)</f>
        <v>41</v>
      </c>
      <c r="J43" s="3">
        <f>VLOOKUP($A$2,'Circuit Data2'!$A$2:$EP$15,72,)</f>
        <v>31</v>
      </c>
      <c r="K43" s="3">
        <f>VLOOKUP($A$2,'Circuit Data2'!$A$2:$EP$15,71,)</f>
        <v>28</v>
      </c>
      <c r="L43" s="3">
        <f>VLOOKUP($A$2,'Circuit Data2'!$A$2:$EP$15,70,)</f>
        <v>34</v>
      </c>
      <c r="M43" s="13">
        <f>VLOOKUP($A$2,'Circuit Data2'!$A$2:$EP$15,76,)</f>
        <v>9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377</v>
      </c>
      <c r="H44" s="3">
        <f>VLOOKUP($A$2,'Circuit Data2'!$A$2:$EP$15,81,)</f>
        <v>374</v>
      </c>
      <c r="I44" s="3">
        <f>VLOOKUP($A$2,'Circuit Data2'!$A$2:$EP$15,80,)</f>
        <v>417</v>
      </c>
      <c r="J44" s="3">
        <f>VLOOKUP($A$2,'Circuit Data2'!$A$2:$EP$15,79,)</f>
        <v>361</v>
      </c>
      <c r="K44" s="3">
        <f>VLOOKUP($A$2,'Circuit Data2'!$A$2:$EP$15,78,)</f>
        <v>368</v>
      </c>
      <c r="L44" s="3">
        <f>VLOOKUP($A$2,'Circuit Data2'!$A$2:$EP$15,77,)</f>
        <v>413</v>
      </c>
      <c r="M44" s="13">
        <f>VLOOKUP($A$2,'Circuit Data2'!$A$2:$EP$15,83,)</f>
        <v>5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509</v>
      </c>
      <c r="H45" s="3">
        <f>VLOOKUP($A$2,'Circuit Data2'!$A$2:$EP$15,88,)</f>
        <v>482</v>
      </c>
      <c r="I45" s="3">
        <f>VLOOKUP($A$2,'Circuit Data2'!$A$2:$EP$15,87,)</f>
        <v>444</v>
      </c>
      <c r="J45" s="3">
        <f>VLOOKUP($A$2,'Circuit Data2'!$A$2:$EP$15,86,)</f>
        <v>441</v>
      </c>
      <c r="K45" s="3">
        <f>VLOOKUP($A$2,'Circuit Data2'!$A$2:$EP$15,85,)</f>
        <v>415</v>
      </c>
      <c r="L45" s="3">
        <f>VLOOKUP($A$2,'Circuit Data2'!$A$2:$EP$15,84,)</f>
        <v>577</v>
      </c>
      <c r="M45" s="13">
        <f>VLOOKUP($A$2,'Circuit Data2'!$A$2:$EP$15,90,)</f>
        <v>6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78</v>
      </c>
      <c r="H46" s="3">
        <f>VLOOKUP($A$2,'Circuit Data2'!$A$2:$EP$15,95,)</f>
        <v>75</v>
      </c>
      <c r="I46" s="3">
        <f>VLOOKUP($A$2,'Circuit Data2'!$A$2:$EP$15,94,)</f>
        <v>71</v>
      </c>
      <c r="J46" s="3">
        <f>VLOOKUP($A$2,'Circuit Data2'!$A$2:$EP$15,93,)</f>
        <v>83</v>
      </c>
      <c r="K46" s="3">
        <f>VLOOKUP($A$2,'Circuit Data2'!$A$2:$EP$15,92,)</f>
        <v>76</v>
      </c>
      <c r="L46" s="3">
        <f>VLOOKUP($A$2,'Circuit Data2'!$A$2:$EP$15,91,)</f>
        <v>111</v>
      </c>
      <c r="M46" s="11">
        <f>VLOOKUP($A$2,'Circuit Data2'!$A$2:$EP$15,97,)</f>
        <v>6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224</v>
      </c>
      <c r="H47" s="3">
        <f>VLOOKUP($A$2,'Circuit Data2'!$A$2:$EP$15,102,)</f>
        <v>209</v>
      </c>
      <c r="I47" s="3">
        <f>VLOOKUP($A$2,'Circuit Data2'!$A$2:$EP$15,101,)</f>
        <v>184</v>
      </c>
      <c r="J47" s="3">
        <f>VLOOKUP($A$2,'Circuit Data2'!$A$2:$EP$15,100,)</f>
        <v>174</v>
      </c>
      <c r="K47" s="3">
        <f>VLOOKUP($A$2,'Circuit Data2'!$A$2:$EP$15,99,)</f>
        <v>158</v>
      </c>
      <c r="L47" s="15">
        <f>VLOOKUP($A$2,'Circuit Data2'!$A$2:$EP$15,98,)</f>
        <v>209</v>
      </c>
      <c r="M47" s="13">
        <f>VLOOKUP($A$2,'Circuit Data2'!$A$2:$EP$15,104,)</f>
        <v>10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153</v>
      </c>
      <c r="H48" s="3">
        <f>VLOOKUP($A$2,'Circuit Data2'!$A$2:$EP$15,109,)</f>
        <v>143</v>
      </c>
      <c r="I48" s="3">
        <f>VLOOKUP($A$2,'Circuit Data2'!$A$2:$EP$15,108,)</f>
        <v>135</v>
      </c>
      <c r="J48" s="3">
        <f>VLOOKUP($A$2,'Circuit Data2'!$A$2:$EP$15,107,)</f>
        <v>143</v>
      </c>
      <c r="K48" s="3">
        <f>VLOOKUP($A$2,'Circuit Data2'!$A$2:$EP$15,106,)</f>
        <v>142</v>
      </c>
      <c r="L48" s="3">
        <f>VLOOKUP($A$2,'Circuit Data2'!$A$2:$EP$15,105,)</f>
        <v>208</v>
      </c>
      <c r="M48" s="13">
        <f>VLOOKUP($A$2,'Circuit Data2'!$A$2:$EP$15,111,)</f>
        <v>4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54</v>
      </c>
      <c r="H49" s="3">
        <f>VLOOKUP($A$2,'Circuit Data2'!$A$2:$EP$15,116,)</f>
        <v>55</v>
      </c>
      <c r="I49" s="3">
        <f>VLOOKUP($A$2,'Circuit Data2'!$A$2:$EP$15,115,)</f>
        <v>54</v>
      </c>
      <c r="J49" s="3">
        <f>VLOOKUP($A$2,'Circuit Data2'!$A$2:$EP$15,114,)</f>
        <v>41</v>
      </c>
      <c r="K49" s="3">
        <f>VLOOKUP($A$2,'Circuit Data2'!$A$2:$EP$15,113,)</f>
        <v>39</v>
      </c>
      <c r="L49" s="3">
        <f>VLOOKUP($A$2,'Circuit Data2'!$A$2:$EP$15,112,)</f>
        <v>49</v>
      </c>
      <c r="M49" s="13">
        <f>VLOOKUP($A$2,'Circuit Data2'!$A$2:$EP$15,118,)</f>
        <v>5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820</v>
      </c>
      <c r="H50" s="3">
        <f>VLOOKUP($A$2,'Circuit Data2'!$A$2:$EP$15,123,)</f>
        <v>833</v>
      </c>
      <c r="I50" s="3">
        <f>VLOOKUP($A$2,'Circuit Data2'!$A$2:$EP$15,122,)</f>
        <v>843</v>
      </c>
      <c r="J50" s="3">
        <f>VLOOKUP($A$2,'Circuit Data2'!$A$2:$EP$15,121,)</f>
        <v>958</v>
      </c>
      <c r="K50" s="3">
        <f>VLOOKUP($A$2,'Circuit Data2'!$A$2:$EP$15,120,)</f>
        <v>995</v>
      </c>
      <c r="L50" s="3">
        <f>VLOOKUP($A$2,'Circuit Data2'!$A$2:$EP$15,119,)</f>
        <v>894</v>
      </c>
      <c r="M50" s="13">
        <f>VLOOKUP($A$2,'Circuit Data2'!$A$2:$EP$15,125,)</f>
        <v>4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14.1</v>
      </c>
      <c r="H51" s="10">
        <f>VLOOKUP($A$2,'Circuit Data2'!$A$2:$EP$15,130,)</f>
        <v>14.2</v>
      </c>
      <c r="I51" s="5">
        <f>VLOOKUP($A$2,'Circuit Data2'!$A$2:$EP$15,129,)</f>
        <v>14.7</v>
      </c>
      <c r="J51" s="5">
        <f>VLOOKUP($A$2,'Circuit Data2'!$A$2:$EP$15,128,)</f>
        <v>15.5</v>
      </c>
      <c r="K51" s="5">
        <f>VLOOKUP($A$2,'Circuit Data2'!$A$2:$EP$15,127,)</f>
        <v>16</v>
      </c>
      <c r="L51" s="5">
        <f>VLOOKUP($A$2,'Circuit Data2'!$A$2:$EP$15,126,)</f>
        <v>15.5</v>
      </c>
      <c r="M51" s="12">
        <f>VLOOKUP($A$2,'Circuit Data2'!$A$2:$EP$15,132,)</f>
        <v>11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2</v>
      </c>
      <c r="H52" s="3">
        <f>VLOOKUP($A$2,'Circuit Data2'!$A$2:$EP$15,137,)</f>
        <v>3</v>
      </c>
      <c r="I52" s="3">
        <f>VLOOKUP($A$2,'Circuit Data2'!$A$2:$EP$15,136,)</f>
        <v>2</v>
      </c>
      <c r="J52" s="3">
        <f>VLOOKUP($A$2,'Circuit Data2'!$A$2:$EP$15,135,)</f>
        <v>2</v>
      </c>
      <c r="K52" s="3">
        <f>VLOOKUP($A$2,'Circuit Data2'!$A$2:$EP$15,134,)</f>
        <v>2</v>
      </c>
      <c r="L52" s="3">
        <f>VLOOKUP($A$2,'Circuit Data2'!$A$2:$EP$15,133,)</f>
        <v>2</v>
      </c>
      <c r="M52" s="11">
        <f>VLOOKUP($A$2,'Circuit Data2'!$A$2:$EP$15,139,)</f>
        <v>3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63</v>
      </c>
      <c r="H53" s="3">
        <f>VLOOKUP($A$2,'Circuit Data2'!$A$2:$EP$15,144,)</f>
        <v>58</v>
      </c>
      <c r="I53" s="3">
        <f>VLOOKUP($A$2,'Circuit Data2'!$A$2:$EP$15,143,)</f>
        <v>59</v>
      </c>
      <c r="J53" s="3">
        <f>VLOOKUP($A$2,'Circuit Data2'!$A$2:$EP$15,142,)</f>
        <v>51</v>
      </c>
      <c r="K53" s="3">
        <f>VLOOKUP($A$2,'Circuit Data2'!$A$2:$EP$15,141,)</f>
        <v>50</v>
      </c>
      <c r="L53" s="3">
        <f>VLOOKUP($A$2,'Circuit Data2'!$A$2:$EP$15,140,)</f>
        <v>56</v>
      </c>
      <c r="M53" s="11">
        <f>VLOOKUP($A$2,'Circuit Data2'!$A$2:$EP$15,146,)</f>
        <v>7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237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3227</v>
      </c>
      <c r="H5" s="3">
        <f>VLOOKUP($A$2,'Circuit Data'!$A$2:$ED$15,7,)</f>
        <v>3307</v>
      </c>
      <c r="I5" s="3">
        <f>VLOOKUP($A$2,'Circuit Data'!$A$2:$ED$15,6,)</f>
        <v>3337</v>
      </c>
      <c r="J5" s="3">
        <f>VLOOKUP($A$2,'Circuit Data'!$A$2:$ED$15,5,)</f>
        <v>3124</v>
      </c>
      <c r="K5" s="3">
        <f>VLOOKUP($A$2,'Circuit Data'!$A$2:$ED$15,4,)</f>
        <v>3098</v>
      </c>
      <c r="L5" s="3">
        <f>VLOOKUP($A$2,'Circuit Data'!$A$2:$ED$15,3,)</f>
        <v>3005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1075</v>
      </c>
      <c r="H6" s="3">
        <f>VLOOKUP($A$2,'Circuit Data'!$A$2:$ED$15,13,)</f>
        <v>1152</v>
      </c>
      <c r="I6" s="3">
        <f>VLOOKUP($A$2,'Circuit Data'!$A$2:$ED$15,12,)</f>
        <v>1214</v>
      </c>
      <c r="J6" s="3">
        <f>VLOOKUP($A$2,'Circuit Data'!$A$2:$ED$15,11,)</f>
        <v>1115</v>
      </c>
      <c r="K6" s="3">
        <f>VLOOKUP($A$2,'Circuit Data'!$A$2:$ED$15,10,)</f>
        <v>1033</v>
      </c>
      <c r="L6" s="3">
        <f>VLOOKUP($A$2,'Circuit Data'!$A$2:$ED$15,9,)</f>
        <v>957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1246</v>
      </c>
      <c r="H7" s="3">
        <f>VLOOKUP($A$2,'Circuit Data'!$A$2:$ED$15,19,)</f>
        <v>1168</v>
      </c>
      <c r="I7" s="3">
        <f>VLOOKUP($A$2,'Circuit Data'!$A$2:$ED$15,18,)</f>
        <v>1323</v>
      </c>
      <c r="J7" s="3">
        <f>VLOOKUP($A$2,'Circuit Data'!$A$2:$ED$15,17,)</f>
        <v>1232</v>
      </c>
      <c r="K7" s="3">
        <f>VLOOKUP($A$2,'Circuit Data'!$A$2:$ED$15,16,)</f>
        <v>1272</v>
      </c>
      <c r="L7" s="3">
        <f>VLOOKUP($A$2,'Circuit Data'!$A$2:$ED$15,15,)</f>
        <v>1259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697</v>
      </c>
      <c r="H8" s="3">
        <f>VLOOKUP($A$2,'Circuit Data'!$A$2:$ED$15,25,)</f>
        <v>735</v>
      </c>
      <c r="I8" s="3">
        <f>VLOOKUP($A$2,'Circuit Data'!$A$2:$ED$15,24,)</f>
        <v>640</v>
      </c>
      <c r="J8" s="3">
        <f>VLOOKUP($A$2,'Circuit Data'!$A$2:$ED$15,23,)</f>
        <v>604</v>
      </c>
      <c r="K8" s="3">
        <f>VLOOKUP($A$2,'Circuit Data'!$A$2:$ED$15,22,)</f>
        <v>624</v>
      </c>
      <c r="L8" s="3">
        <f>VLOOKUP($A$2,'Circuit Data'!$A$2:$ED$15,21,)</f>
        <v>643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209</v>
      </c>
      <c r="H9" s="3">
        <f>VLOOKUP($A$2,'Circuit Data'!$A$2:$ED$15,31,)</f>
        <v>252</v>
      </c>
      <c r="I9" s="3">
        <f>VLOOKUP($A$2,'Circuit Data'!$A$2:$ED$15,30,)</f>
        <v>160</v>
      </c>
      <c r="J9" s="3">
        <f>VLOOKUP($A$2,'Circuit Data'!$A$2:$ED$15,29,)</f>
        <v>173</v>
      </c>
      <c r="K9" s="3">
        <f>VLOOKUP($A$2,'Circuit Data'!$A$2:$ED$15,28,)</f>
        <v>169</v>
      </c>
      <c r="L9" s="3">
        <f>VLOOKUP($A$2,'Circuit Data'!$A$2:$ED$15,27,)</f>
        <v>146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-3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-6.9</v>
      </c>
      <c r="H11" s="5">
        <f>VLOOKUP($A$2,'Circuit Data'!$A$2:$ED$15,37,)</f>
        <v>-9.1</v>
      </c>
      <c r="I11" s="5">
        <f>VLOOKUP($A$2,'Circuit Data'!$A$2:$ED$15,36,)</f>
        <v>-10</v>
      </c>
      <c r="J11" s="5">
        <f>VLOOKUP($A$2,'Circuit Data'!$A$2:$ED$15,35,)</f>
        <v>-3.8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3280</v>
      </c>
      <c r="H12" s="9">
        <f>VLOOKUP($A$2,'Circuit Data'!$A$2:$ED$15,43,)</f>
        <v>3281</v>
      </c>
      <c r="I12" s="3">
        <f>VLOOKUP($A$2,'Circuit Data'!$A$2:$ED$15,42,)</f>
        <v>3435</v>
      </c>
      <c r="J12" s="3">
        <f>VLOOKUP($A$2,'Circuit Data'!$A$2:$ED$15,41,)</f>
        <v>3398</v>
      </c>
      <c r="K12" s="3">
        <f>VLOOKUP($A$2,'Circuit Data'!$A$2:$ED$15,40,)</f>
        <v>3336</v>
      </c>
      <c r="L12" s="3">
        <f>VLOOKUP($A$2,'Circuit Data'!$A$2:$ED$15,39,)</f>
        <v>2987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175</v>
      </c>
      <c r="H13" s="3">
        <f>VLOOKUP($A$2,'Circuit Data'!$A$2:$ED$15,49,)</f>
        <v>257</v>
      </c>
      <c r="I13" s="3">
        <f>VLOOKUP($A$2,'Circuit Data'!$A$2:$ED$15,48,)</f>
        <v>193</v>
      </c>
      <c r="J13" s="3">
        <f>VLOOKUP($A$2,'Circuit Data'!$A$2:$ED$15,47,)</f>
        <v>191</v>
      </c>
      <c r="K13" s="3">
        <f>VLOOKUP($A$2,'Circuit Data'!$A$2:$ED$15,46,)</f>
        <v>178</v>
      </c>
      <c r="L13" s="3">
        <f>VLOOKUP($A$2,'Circuit Data'!$A$2:$ED$15,45,)</f>
        <v>190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1638</v>
      </c>
      <c r="H14" s="3">
        <f>VLOOKUP($A$2,'Circuit Data'!$A$2:$ED$15,55,)</f>
        <v>1686</v>
      </c>
      <c r="I14" s="3">
        <f>VLOOKUP($A$2,'Circuit Data'!$A$2:$ED$15,54,)</f>
        <v>1601</v>
      </c>
      <c r="J14" s="3">
        <f>VLOOKUP($A$2,'Circuit Data'!$A$2:$ED$15,53,)</f>
        <v>1695</v>
      </c>
      <c r="K14" s="3">
        <f>VLOOKUP($A$2,'Circuit Data'!$A$2:$ED$15,52,)</f>
        <v>1679</v>
      </c>
      <c r="L14" s="3">
        <f>VLOOKUP($A$2,'Circuit Data'!$A$2:$ED$15,51,)</f>
        <v>1434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1467</v>
      </c>
      <c r="H15" s="3">
        <f>VLOOKUP($A$2,'Circuit Data'!$A$2:$ED$15,61,)</f>
        <v>1338</v>
      </c>
      <c r="I15" s="3">
        <f>VLOOKUP($A$2,'Circuit Data'!$A$2:$ED$15,60,)</f>
        <v>1641</v>
      </c>
      <c r="J15" s="3">
        <f>VLOOKUP($A$2,'Circuit Data'!$A$2:$ED$15,59,)</f>
        <v>1512</v>
      </c>
      <c r="K15" s="3">
        <f>VLOOKUP($A$2,'Circuit Data'!$A$2:$ED$15,58,)</f>
        <v>1479</v>
      </c>
      <c r="L15" s="3">
        <f>VLOOKUP($A$2,'Circuit Data'!$A$2:$ED$15,57,)</f>
        <v>1553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201</v>
      </c>
      <c r="H16" s="3">
        <f>VLOOKUP($A$2,'Circuit Data'!$A$2:$ED$15,67,)</f>
        <v>219</v>
      </c>
      <c r="I16" s="3">
        <f>VLOOKUP($A$2,'Circuit Data'!$A$2:$ED$15,66,)</f>
        <v>363</v>
      </c>
      <c r="J16" s="3">
        <f>VLOOKUP($A$2,'Circuit Data'!$A$2:$ED$15,65,)</f>
        <v>282</v>
      </c>
      <c r="K16" s="3">
        <f>VLOOKUP($A$2,'Circuit Data'!$A$2:$ED$15,64,)</f>
        <v>231</v>
      </c>
      <c r="L16" s="3">
        <f>VLOOKUP($A$2,'Circuit Data'!$A$2:$ED$15,63,)</f>
        <v>232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587</v>
      </c>
      <c r="H17" s="3">
        <f>VLOOKUP($A$2,'Circuit Data'!$A$2:$ED$15,73,)</f>
        <v>568</v>
      </c>
      <c r="I17" s="3">
        <f>VLOOKUP($A$2,'Circuit Data'!$A$2:$ED$15,72,)</f>
        <v>696</v>
      </c>
      <c r="J17" s="3">
        <f>VLOOKUP($A$2,'Circuit Data'!$A$2:$ED$15,71,)</f>
        <v>632</v>
      </c>
      <c r="K17" s="3">
        <f>VLOOKUP($A$2,'Circuit Data'!$A$2:$ED$15,70,)</f>
        <v>632</v>
      </c>
      <c r="L17" s="3">
        <f>VLOOKUP($A$2,'Circuit Data'!$A$2:$ED$15,69,)</f>
        <v>773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498</v>
      </c>
      <c r="H18" s="3">
        <f>VLOOKUP($A$2,'Circuit Data'!$A$2:$ED$15,79,)</f>
        <v>433</v>
      </c>
      <c r="I18" s="3">
        <f>VLOOKUP($A$2,'Circuit Data'!$A$2:$ED$15,78,)</f>
        <v>462</v>
      </c>
      <c r="J18" s="3">
        <f>VLOOKUP($A$2,'Circuit Data'!$A$2:$ED$15,77,)</f>
        <v>482</v>
      </c>
      <c r="K18" s="3">
        <f>VLOOKUP($A$2,'Circuit Data'!$A$2:$ED$15,76,)</f>
        <v>501</v>
      </c>
      <c r="L18" s="3">
        <f>VLOOKUP($A$2,'Circuit Data'!$A$2:$ED$15,75,)</f>
        <v>457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181</v>
      </c>
      <c r="H19" s="3">
        <f>VLOOKUP($A$2,'Circuit Data'!$A$2:$ED$15,85,)</f>
        <v>118</v>
      </c>
      <c r="I19" s="3">
        <f>VLOOKUP($A$2,'Circuit Data'!$A$2:$ED$15,84,)</f>
        <v>120</v>
      </c>
      <c r="J19" s="3">
        <f>VLOOKUP($A$2,'Circuit Data'!$A$2:$ED$15,83,)</f>
        <v>116</v>
      </c>
      <c r="K19" s="3">
        <f>VLOOKUP($A$2,'Circuit Data'!$A$2:$ED$15,82,)</f>
        <v>115</v>
      </c>
      <c r="L19" s="3">
        <f>VLOOKUP($A$2,'Circuit Data'!$A$2:$ED$15,81,)</f>
        <v>91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86.5</v>
      </c>
      <c r="H20" s="5">
        <f>VLOOKUP($A$2,'Circuit Data'!$A$2:$ED$15,91,)</f>
        <v>81.099999999999994</v>
      </c>
      <c r="I20" s="5">
        <f>VLOOKUP($A$2,'Circuit Data'!$A$2:$ED$15,90,)</f>
        <v>76.3</v>
      </c>
      <c r="J20" s="5">
        <f>VLOOKUP($A$2,'Circuit Data'!$A$2:$ED$15,89,)</f>
        <v>72.8</v>
      </c>
      <c r="K20" s="5">
        <f>VLOOKUP($A$2,'Circuit Data'!$A$2:$ED$15,88,)</f>
        <v>71.8</v>
      </c>
      <c r="L20" s="5">
        <f>VLOOKUP($A$2,'Circuit Data'!$A$2:$ED$15,87,)</f>
        <v>63.3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2247</v>
      </c>
      <c r="H21" s="3">
        <f>VLOOKUP($A$2,'Circuit Data'!$A$2:$ED$15,97,)</f>
        <v>2273</v>
      </c>
      <c r="I21" s="3">
        <f>VLOOKUP($A$2,'Circuit Data'!$A$2:$ED$15,96,)</f>
        <v>2174</v>
      </c>
      <c r="J21" s="3">
        <f>VLOOKUP($A$2,'Circuit Data'!$A$2:$ED$15,95,)</f>
        <v>1885</v>
      </c>
      <c r="K21" s="3">
        <f>VLOOKUP($A$2,'Circuit Data'!$A$2:$ED$15,94,)</f>
        <v>1913</v>
      </c>
      <c r="L21" s="3">
        <f>VLOOKUP($A$2,'Circuit Data'!$A$2:$ED$15,93,)</f>
        <v>1930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346</v>
      </c>
      <c r="H22" s="3">
        <f>VLOOKUP($A$2,'Circuit Data'!$A$2:$ED$15,103,)</f>
        <v>316</v>
      </c>
      <c r="I22" s="3">
        <f>VLOOKUP($A$2,'Circuit Data'!$A$2:$ED$15,102,)</f>
        <v>377</v>
      </c>
      <c r="J22" s="3">
        <f>VLOOKUP($A$2,'Circuit Data'!$A$2:$ED$15,101,)</f>
        <v>337</v>
      </c>
      <c r="K22" s="3">
        <f>VLOOKUP($A$2,'Circuit Data'!$A$2:$ED$15,100,)</f>
        <v>319</v>
      </c>
      <c r="L22" s="3">
        <f>VLOOKUP($A$2,'Circuit Data'!$A$2:$ED$15,99,)</f>
        <v>332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123</v>
      </c>
      <c r="H23" s="3">
        <f>VLOOKUP($A$2,'Circuit Data'!$A$2:$ED$15,109,)</f>
        <v>118</v>
      </c>
      <c r="I23" s="3">
        <f>VLOOKUP($A$2,'Circuit Data'!$A$2:$ED$15,108,)</f>
        <v>104</v>
      </c>
      <c r="J23" s="3">
        <f>VLOOKUP($A$2,'Circuit Data'!$A$2:$ED$15,107,)</f>
        <v>115</v>
      </c>
      <c r="K23" s="3">
        <f>VLOOKUP($A$2,'Circuit Data'!$A$2:$ED$15,106,)</f>
        <v>106</v>
      </c>
      <c r="L23" s="3">
        <f>VLOOKUP($A$2,'Circuit Data'!$A$2:$ED$15,105,)</f>
        <v>85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117</v>
      </c>
      <c r="H24" s="3">
        <f>VLOOKUP($A$2,'Circuit Data'!$A$2:$ED$15,115,)</f>
        <v>105</v>
      </c>
      <c r="I24" s="3">
        <f>VLOOKUP($A$2,'Circuit Data'!$A$2:$ED$15,114,)</f>
        <v>128</v>
      </c>
      <c r="J24" s="3">
        <f>VLOOKUP($A$2,'Circuit Data'!$A$2:$ED$15,113,)</f>
        <v>112</v>
      </c>
      <c r="K24" s="3">
        <f>VLOOKUP($A$2,'Circuit Data'!$A$2:$ED$15,112,)</f>
        <v>107</v>
      </c>
      <c r="L24" s="3">
        <f>VLOOKUP($A$2,'Circuit Data'!$A$2:$ED$15,111,)</f>
        <v>99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52</v>
      </c>
      <c r="H25" s="3">
        <f>VLOOKUP($A$2,'Circuit Data'!$A$2:$ED$15,121,)</f>
        <v>53</v>
      </c>
      <c r="I25" s="3">
        <f>VLOOKUP($A$2,'Circuit Data'!$A$2:$ED$15,120,)</f>
        <v>49</v>
      </c>
      <c r="J25" s="3">
        <f>VLOOKUP($A$2,'Circuit Data'!$A$2:$ED$15,119,)</f>
        <v>45</v>
      </c>
      <c r="K25" s="3">
        <f>VLOOKUP($A$2,'Circuit Data'!$A$2:$ED$15,118,)</f>
        <v>44</v>
      </c>
      <c r="L25" s="3">
        <f>VLOOKUP($A$2,'Circuit Data'!$A$2:$ED$15,117,)</f>
        <v>45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61</v>
      </c>
      <c r="H26" s="3">
        <f>VLOOKUP($A$2,'Circuit Data'!$A$2:$ED$15,127,)</f>
        <v>48</v>
      </c>
      <c r="I26" s="3">
        <f>VLOOKUP($A$2,'Circuit Data'!$A$2:$ED$15,126,)</f>
        <v>76</v>
      </c>
      <c r="J26" s="3">
        <f>VLOOKUP($A$2,'Circuit Data'!$A$2:$ED$15,125,)</f>
        <v>64</v>
      </c>
      <c r="K26" s="3">
        <f>VLOOKUP($A$2,'Circuit Data'!$A$2:$ED$15,124,)</f>
        <v>60</v>
      </c>
      <c r="L26" s="3">
        <f>VLOOKUP($A$2,'Circuit Data'!$A$2:$ED$15,123,)</f>
        <v>52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>
        <f>VLOOKUP($A$2,'Circuit Data'!$A$2:$ED$15,134,)</f>
        <v>4</v>
      </c>
      <c r="H27" s="3">
        <f>VLOOKUP($A$2,'Circuit Data'!$A$2:$ED$15,133,)</f>
        <v>4</v>
      </c>
      <c r="I27" s="3">
        <f>VLOOKUP($A$2,'Circuit Data'!$A$2:$ED$15,132,)</f>
        <v>3</v>
      </c>
      <c r="J27" s="3">
        <f>VLOOKUP($A$2,'Circuit Data'!$A$2:$ED$15,131,)</f>
        <v>3</v>
      </c>
      <c r="K27" s="3">
        <f>VLOOKUP($A$2,'Circuit Data'!$A$2:$ED$15,130,)</f>
        <v>3</v>
      </c>
      <c r="L27" s="3">
        <f>VLOOKUP($A$2,'Circuit Data'!$A$2:$ED$15,129,)</f>
        <v>2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SEVENTH CIRCUIT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11/3.7</v>
      </c>
      <c r="H34" s="3" t="str">
        <f>VLOOKUP($A$2,'Circuit Data2'!$A$2:$EP$15,12,)&amp;"/"&amp;TEXT(VLOOKUP($A$2,'Circuit Data2'!$A$2:$EP$15,13,),"0.0")</f>
        <v>11/3.7</v>
      </c>
      <c r="I34" s="3" t="str">
        <f>VLOOKUP($A$2,'Circuit Data2'!$A$2:$EP$15,10,)&amp;"/"&amp;TEXT(VLOOKUP($A$2,'Circuit Data2'!$A$2:$EP$15,11,),"0.0")</f>
        <v>11/3.7</v>
      </c>
      <c r="J34" s="3" t="str">
        <f>VLOOKUP($A$2,'Circuit Data2'!$A$2:$EP$15,8,)&amp;"/"&amp;TEXT(VLOOKUP($A$2,'Circuit Data2'!$A$2:$EP$15,9,),"0.0")</f>
        <v>11/3.7</v>
      </c>
      <c r="K34" s="3" t="str">
        <f>VLOOKUP($A$2,'Circuit Data2'!$A$2:$EP$15,6,)&amp;"/"&amp;TEXT(VLOOKUP($A$2,'Circuit Data2'!$A$2:$EP$15,7,),"0.0")</f>
        <v>11/3.7</v>
      </c>
      <c r="L34" s="3" t="str">
        <f>VLOOKUP($A$2,'Circuit Data2'!$A$2:$EP$15,4,)&amp;"/"&amp;TEXT(VLOOKUP($A$2,'Circuit Data2'!$A$2:$EP$15,5,),"0.0")</f>
        <v>11/3.7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3</v>
      </c>
      <c r="H35" s="3">
        <f>VLOOKUP($A$2,'Circuit Data2'!$A$2:$EP$15,20,)</f>
        <v>5</v>
      </c>
      <c r="I35" s="3">
        <f>VLOOKUP($A$2,'Circuit Data2'!$A$2:$EP$15,19,)</f>
        <v>5</v>
      </c>
      <c r="J35" s="3">
        <f>VLOOKUP($A$2,'Circuit Data2'!$A$2:$EP$15,18,)</f>
        <v>6</v>
      </c>
      <c r="K35" s="3">
        <f>VLOOKUP($A$2,'Circuit Data2'!$A$2:$EP$15,17,)</f>
        <v>6</v>
      </c>
      <c r="L35" s="3">
        <f>VLOOKUP($A$2,'Circuit Data2'!$A$2:$EP$15,16,)</f>
        <v>6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0</v>
      </c>
      <c r="H36" s="17">
        <f>VLOOKUP($A$2,'Circuit Data2'!$A$2:$EP$15,26,)</f>
        <v>1</v>
      </c>
      <c r="I36" s="17">
        <f>VLOOKUP($A$2,'Circuit Data2'!$A$2:$EP$15,25,)</f>
        <v>12</v>
      </c>
      <c r="J36" s="17">
        <f>VLOOKUP($A$2,'Circuit Data2'!$A$2:$EP$15,24,)</f>
        <v>10.3</v>
      </c>
      <c r="K36" s="17">
        <f>VLOOKUP($A$2,'Circuit Data2'!$A$2:$EP$15,23,)</f>
        <v>11.7</v>
      </c>
      <c r="L36" s="17">
        <f>VLOOKUP($A$2,'Circuit Data2'!$A$2:$EP$15,22,)</f>
        <v>12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880</v>
      </c>
      <c r="H37" s="3">
        <f>VLOOKUP($A$2,'Circuit Data2'!$A$2:$EP$15,32,)</f>
        <v>902</v>
      </c>
      <c r="I37" s="3">
        <f>VLOOKUP($A$2,'Circuit Data2'!$A$2:$EP$15,31,)</f>
        <v>910</v>
      </c>
      <c r="J37" s="3">
        <f>VLOOKUP($A$2,'Circuit Data2'!$A$2:$EP$15,30,)</f>
        <v>852</v>
      </c>
      <c r="K37" s="3">
        <f>VLOOKUP($A$2,'Circuit Data2'!$A$2:$EP$15,29,)</f>
        <v>845</v>
      </c>
      <c r="L37" s="3">
        <f>VLOOKUP($A$2,'Circuit Data2'!$A$2:$EP$15,28,)</f>
        <v>820</v>
      </c>
      <c r="M37" s="16">
        <f>VLOOKUP($A$2,'Circuit Data2'!$A$2:$EP$15,34,)</f>
        <v>7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293</v>
      </c>
      <c r="H38" s="3">
        <f>VLOOKUP($A$2,'Circuit Data2'!$A$2:$EP$15,39,)</f>
        <v>314</v>
      </c>
      <c r="I38" s="3">
        <f>VLOOKUP($A$2,'Circuit Data2'!$A$2:$EP$15,38,)</f>
        <v>331</v>
      </c>
      <c r="J38" s="3">
        <f>VLOOKUP($A$2,'Circuit Data2'!$A$2:$EP$15,37,)</f>
        <v>304</v>
      </c>
      <c r="K38" s="3">
        <f>VLOOKUP($A$2,'Circuit Data2'!$A$2:$EP$15,36,)</f>
        <v>282</v>
      </c>
      <c r="L38" s="3">
        <f>VLOOKUP($A$2,'Circuit Data2'!$A$2:$EP$15,35,)</f>
        <v>261</v>
      </c>
      <c r="M38" s="11">
        <f>VLOOKUP($A$2,'Circuit Data2'!$A$2:$EP$15,41,)</f>
        <v>6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340</v>
      </c>
      <c r="H39" s="3">
        <f>VLOOKUP($A$2,'Circuit Data2'!$A$2:$EP$15,46,)</f>
        <v>319</v>
      </c>
      <c r="I39" s="3">
        <f>VLOOKUP($A$2,'Circuit Data2'!$A$2:$EP$15,45,)</f>
        <v>360</v>
      </c>
      <c r="J39" s="3">
        <f>VLOOKUP($A$2,'Circuit Data2'!$A$2:$EP$15,44,)</f>
        <v>336</v>
      </c>
      <c r="K39" s="3">
        <f>VLOOKUP($A$2,'Circuit Data2'!$A$2:$EP$15,43,)</f>
        <v>347</v>
      </c>
      <c r="L39" s="3">
        <f>VLOOKUP($A$2,'Circuit Data2'!$A$2:$EP$15,42,)</f>
        <v>344</v>
      </c>
      <c r="M39" s="12">
        <f>VLOOKUP($A$2,'Circuit Data2'!$A$2:$EP$15,48,)</f>
        <v>5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190</v>
      </c>
      <c r="H40" s="3">
        <f>VLOOKUP($A$2,'Circuit Data2'!$A$2:$EP$15,53,)</f>
        <v>200</v>
      </c>
      <c r="I40" s="3">
        <f>VLOOKUP($A$2,'Circuit Data2'!$A$2:$EP$15,52,)</f>
        <v>175</v>
      </c>
      <c r="J40" s="3">
        <f>VLOOKUP($A$2,'Circuit Data2'!$A$2:$EP$15,51,)</f>
        <v>165</v>
      </c>
      <c r="K40" s="14">
        <f>VLOOKUP($A$2,'Circuit Data2'!$A$2:$EP$15,50,)</f>
        <v>170</v>
      </c>
      <c r="L40" s="3">
        <f>VLOOKUP($A$2,'Circuit Data2'!$A$2:$EP$15,49,)</f>
        <v>175</v>
      </c>
      <c r="M40" s="12">
        <f>VLOOKUP($A$2,'Circuit Data2'!$A$2:$EP$15,55,)</f>
        <v>8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57</v>
      </c>
      <c r="H41" s="3">
        <f>VLOOKUP($A$2,'Circuit Data2'!$A$2:$EP$15,60,)</f>
        <v>69</v>
      </c>
      <c r="I41" s="3">
        <f>VLOOKUP($A$2,'Circuit Data2'!$A$2:$EP$15,59,)</f>
        <v>44</v>
      </c>
      <c r="J41" s="3">
        <f>VLOOKUP($A$2,'Circuit Data2'!$A$2:$EP$15,58,)</f>
        <v>47</v>
      </c>
      <c r="K41" s="3">
        <f>VLOOKUP($A$2,'Circuit Data2'!$A$2:$EP$15,57,)</f>
        <v>46</v>
      </c>
      <c r="L41" s="3">
        <f>VLOOKUP($A$2,'Circuit Data2'!$A$2:$EP$15,56,)</f>
        <v>40</v>
      </c>
      <c r="M41" s="12">
        <f>VLOOKUP($A$2,'Circuit Data2'!$A$2:$EP$15,62,)</f>
        <v>10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895</v>
      </c>
      <c r="H42" s="3">
        <f>VLOOKUP($A$2,'Circuit Data2'!$A$2:$EP$15,67,)</f>
        <v>895</v>
      </c>
      <c r="I42" s="3">
        <f>VLOOKUP($A$2,'Circuit Data2'!$A$2:$EP$15,66,)</f>
        <v>937</v>
      </c>
      <c r="J42" s="3">
        <f>VLOOKUP($A$2,'Circuit Data2'!$A$2:$EP$15,65,)</f>
        <v>927</v>
      </c>
      <c r="K42" s="3">
        <f>VLOOKUP($A$2,'Circuit Data2'!$A$2:$EP$15,64,)</f>
        <v>910</v>
      </c>
      <c r="L42" s="3">
        <f>VLOOKUP($A$2,'Circuit Data2'!$A$2:$EP$15,63,)</f>
        <v>815</v>
      </c>
      <c r="M42" s="13">
        <f>VLOOKUP($A$2,'Circuit Data2'!$A$2:$EP$15,69,)</f>
        <v>8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48</v>
      </c>
      <c r="H43" s="15">
        <f>VLOOKUP($A$2,'Circuit Data2'!$A$2:$EP$15,74,)</f>
        <v>70</v>
      </c>
      <c r="I43" s="3">
        <f>VLOOKUP($A$2,'Circuit Data2'!$A$2:$EP$15,73,)</f>
        <v>52</v>
      </c>
      <c r="J43" s="3">
        <f>VLOOKUP($A$2,'Circuit Data2'!$A$2:$EP$15,72,)</f>
        <v>53</v>
      </c>
      <c r="K43" s="3">
        <f>VLOOKUP($A$2,'Circuit Data2'!$A$2:$EP$15,71,)</f>
        <v>49</v>
      </c>
      <c r="L43" s="3">
        <f>VLOOKUP($A$2,'Circuit Data2'!$A$2:$EP$15,70,)</f>
        <v>52</v>
      </c>
      <c r="M43" s="13">
        <f>VLOOKUP($A$2,'Circuit Data2'!$A$2:$EP$15,76,)</f>
        <v>2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447</v>
      </c>
      <c r="H44" s="3">
        <f>VLOOKUP($A$2,'Circuit Data2'!$A$2:$EP$15,81,)</f>
        <v>460</v>
      </c>
      <c r="I44" s="3">
        <f>VLOOKUP($A$2,'Circuit Data2'!$A$2:$EP$15,80,)</f>
        <v>437</v>
      </c>
      <c r="J44" s="3">
        <f>VLOOKUP($A$2,'Circuit Data2'!$A$2:$EP$15,79,)</f>
        <v>462</v>
      </c>
      <c r="K44" s="3">
        <f>VLOOKUP($A$2,'Circuit Data2'!$A$2:$EP$15,78,)</f>
        <v>458</v>
      </c>
      <c r="L44" s="3">
        <f>VLOOKUP($A$2,'Circuit Data2'!$A$2:$EP$15,77,)</f>
        <v>391</v>
      </c>
      <c r="M44" s="13">
        <f>VLOOKUP($A$2,'Circuit Data2'!$A$2:$EP$15,83,)</f>
        <v>6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400</v>
      </c>
      <c r="H45" s="3">
        <f>VLOOKUP($A$2,'Circuit Data2'!$A$2:$EP$15,88,)</f>
        <v>365</v>
      </c>
      <c r="I45" s="3">
        <f>VLOOKUP($A$2,'Circuit Data2'!$A$2:$EP$15,87,)</f>
        <v>448</v>
      </c>
      <c r="J45" s="3">
        <f>VLOOKUP($A$2,'Circuit Data2'!$A$2:$EP$15,86,)</f>
        <v>412</v>
      </c>
      <c r="K45" s="3">
        <f>VLOOKUP($A$2,'Circuit Data2'!$A$2:$EP$15,85,)</f>
        <v>403</v>
      </c>
      <c r="L45" s="3">
        <f>VLOOKUP($A$2,'Circuit Data2'!$A$2:$EP$15,84,)</f>
        <v>424</v>
      </c>
      <c r="M45" s="13">
        <f>VLOOKUP($A$2,'Circuit Data2'!$A$2:$EP$15,90,)</f>
        <v>10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55</v>
      </c>
      <c r="H46" s="3">
        <f>VLOOKUP($A$2,'Circuit Data2'!$A$2:$EP$15,95,)</f>
        <v>60</v>
      </c>
      <c r="I46" s="3">
        <f>VLOOKUP($A$2,'Circuit Data2'!$A$2:$EP$15,94,)</f>
        <v>99</v>
      </c>
      <c r="J46" s="3">
        <f>VLOOKUP($A$2,'Circuit Data2'!$A$2:$EP$15,93,)</f>
        <v>77</v>
      </c>
      <c r="K46" s="3">
        <f>VLOOKUP($A$2,'Circuit Data2'!$A$2:$EP$15,92,)</f>
        <v>63</v>
      </c>
      <c r="L46" s="3">
        <f>VLOOKUP($A$2,'Circuit Data2'!$A$2:$EP$15,91,)</f>
        <v>63</v>
      </c>
      <c r="M46" s="11">
        <f>VLOOKUP($A$2,'Circuit Data2'!$A$2:$EP$15,97,)</f>
        <v>9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160</v>
      </c>
      <c r="H47" s="3">
        <f>VLOOKUP($A$2,'Circuit Data2'!$A$2:$EP$15,102,)</f>
        <v>155</v>
      </c>
      <c r="I47" s="3">
        <f>VLOOKUP($A$2,'Circuit Data2'!$A$2:$EP$15,101,)</f>
        <v>190</v>
      </c>
      <c r="J47" s="3">
        <f>VLOOKUP($A$2,'Circuit Data2'!$A$2:$EP$15,100,)</f>
        <v>172</v>
      </c>
      <c r="K47" s="3">
        <f>VLOOKUP($A$2,'Circuit Data2'!$A$2:$EP$15,99,)</f>
        <v>172</v>
      </c>
      <c r="L47" s="15">
        <f>VLOOKUP($A$2,'Circuit Data2'!$A$2:$EP$15,98,)</f>
        <v>211</v>
      </c>
      <c r="M47" s="13">
        <f>VLOOKUP($A$2,'Circuit Data2'!$A$2:$EP$15,104,)</f>
        <v>9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136</v>
      </c>
      <c r="H48" s="3">
        <f>VLOOKUP($A$2,'Circuit Data2'!$A$2:$EP$15,109,)</f>
        <v>118</v>
      </c>
      <c r="I48" s="3">
        <f>VLOOKUP($A$2,'Circuit Data2'!$A$2:$EP$15,108,)</f>
        <v>126</v>
      </c>
      <c r="J48" s="3">
        <f>VLOOKUP($A$2,'Circuit Data2'!$A$2:$EP$15,107,)</f>
        <v>131</v>
      </c>
      <c r="K48" s="3">
        <f>VLOOKUP($A$2,'Circuit Data2'!$A$2:$EP$15,106,)</f>
        <v>137</v>
      </c>
      <c r="L48" s="3">
        <f>VLOOKUP($A$2,'Circuit Data2'!$A$2:$EP$15,105,)</f>
        <v>125</v>
      </c>
      <c r="M48" s="13">
        <f>VLOOKUP($A$2,'Circuit Data2'!$A$2:$EP$15,111,)</f>
        <v>10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49</v>
      </c>
      <c r="H49" s="3">
        <f>VLOOKUP($A$2,'Circuit Data2'!$A$2:$EP$15,116,)</f>
        <v>32</v>
      </c>
      <c r="I49" s="3">
        <f>VLOOKUP($A$2,'Circuit Data2'!$A$2:$EP$15,115,)</f>
        <v>33</v>
      </c>
      <c r="J49" s="3">
        <f>VLOOKUP($A$2,'Circuit Data2'!$A$2:$EP$15,114,)</f>
        <v>32</v>
      </c>
      <c r="K49" s="3">
        <f>VLOOKUP($A$2,'Circuit Data2'!$A$2:$EP$15,113,)</f>
        <v>31</v>
      </c>
      <c r="L49" s="3">
        <f>VLOOKUP($A$2,'Circuit Data2'!$A$2:$EP$15,112,)</f>
        <v>25</v>
      </c>
      <c r="M49" s="13">
        <f>VLOOKUP($A$2,'Circuit Data2'!$A$2:$EP$15,118,)</f>
        <v>10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613</v>
      </c>
      <c r="H50" s="3">
        <f>VLOOKUP($A$2,'Circuit Data2'!$A$2:$EP$15,123,)</f>
        <v>620</v>
      </c>
      <c r="I50" s="3">
        <f>VLOOKUP($A$2,'Circuit Data2'!$A$2:$EP$15,122,)</f>
        <v>593</v>
      </c>
      <c r="J50" s="3">
        <f>VLOOKUP($A$2,'Circuit Data2'!$A$2:$EP$15,121,)</f>
        <v>514</v>
      </c>
      <c r="K50" s="3">
        <f>VLOOKUP($A$2,'Circuit Data2'!$A$2:$EP$15,120,)</f>
        <v>522</v>
      </c>
      <c r="L50" s="3">
        <f>VLOOKUP($A$2,'Circuit Data2'!$A$2:$EP$15,119,)</f>
        <v>526</v>
      </c>
      <c r="M50" s="13">
        <f>VLOOKUP($A$2,'Circuit Data2'!$A$2:$EP$15,125,)</f>
        <v>7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10.9</v>
      </c>
      <c r="H51" s="10">
        <f>VLOOKUP($A$2,'Circuit Data2'!$A$2:$EP$15,130,)</f>
        <v>12</v>
      </c>
      <c r="I51" s="5">
        <f>VLOOKUP($A$2,'Circuit Data2'!$A$2:$EP$15,129,)</f>
        <v>10.6</v>
      </c>
      <c r="J51" s="5">
        <f>VLOOKUP($A$2,'Circuit Data2'!$A$2:$EP$15,128,)</f>
        <v>10.5</v>
      </c>
      <c r="K51" s="5">
        <f>VLOOKUP($A$2,'Circuit Data2'!$A$2:$EP$15,127,)</f>
        <v>10.6</v>
      </c>
      <c r="L51" s="5">
        <f>VLOOKUP($A$2,'Circuit Data2'!$A$2:$EP$15,126,)</f>
        <v>9.4</v>
      </c>
      <c r="M51" s="12">
        <f>VLOOKUP($A$2,'Circuit Data2'!$A$2:$EP$15,132,)</f>
        <v>6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3</v>
      </c>
      <c r="H52" s="3">
        <f>VLOOKUP($A$2,'Circuit Data2'!$A$2:$EP$15,137,)</f>
        <v>4</v>
      </c>
      <c r="I52" s="3">
        <f>VLOOKUP($A$2,'Circuit Data2'!$A$2:$EP$15,136,)</f>
        <v>4</v>
      </c>
      <c r="J52" s="3">
        <f>VLOOKUP($A$2,'Circuit Data2'!$A$2:$EP$15,135,)</f>
        <v>4</v>
      </c>
      <c r="K52" s="3">
        <f>VLOOKUP($A$2,'Circuit Data2'!$A$2:$EP$15,134,)</f>
        <v>5</v>
      </c>
      <c r="L52" s="3">
        <f>VLOOKUP($A$2,'Circuit Data2'!$A$2:$EP$15,133,)</f>
        <v>5</v>
      </c>
      <c r="M52" s="11">
        <f>VLOOKUP($A$2,'Circuit Data2'!$A$2:$EP$15,139,)</f>
        <v>1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32</v>
      </c>
      <c r="H53" s="3">
        <f>VLOOKUP($A$2,'Circuit Data2'!$A$2:$EP$15,144,)</f>
        <v>32</v>
      </c>
      <c r="I53" s="3">
        <f>VLOOKUP($A$2,'Circuit Data2'!$A$2:$EP$15,143,)</f>
        <v>35</v>
      </c>
      <c r="J53" s="3">
        <f>VLOOKUP($A$2,'Circuit Data2'!$A$2:$EP$15,142,)</f>
        <v>34</v>
      </c>
      <c r="K53" s="3">
        <f>VLOOKUP($A$2,'Circuit Data2'!$A$2:$EP$15,141,)</f>
        <v>33</v>
      </c>
      <c r="L53" s="3">
        <f>VLOOKUP($A$2,'Circuit Data2'!$A$2:$EP$15,140,)</f>
        <v>31</v>
      </c>
      <c r="M53" s="11">
        <f>VLOOKUP($A$2,'Circuit Data2'!$A$2:$EP$15,146,)</f>
        <v>9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238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3020</v>
      </c>
      <c r="H5" s="3">
        <f>VLOOKUP($A$2,'Circuit Data'!$A$2:$ED$15,7,)</f>
        <v>3022</v>
      </c>
      <c r="I5" s="3">
        <f>VLOOKUP($A$2,'Circuit Data'!$A$2:$ED$15,6,)</f>
        <v>3113</v>
      </c>
      <c r="J5" s="3">
        <f>VLOOKUP($A$2,'Circuit Data'!$A$2:$ED$15,5,)</f>
        <v>2878</v>
      </c>
      <c r="K5" s="3">
        <f>VLOOKUP($A$2,'Circuit Data'!$A$2:$ED$15,4,)</f>
        <v>2900</v>
      </c>
      <c r="L5" s="3">
        <f>VLOOKUP($A$2,'Circuit Data'!$A$2:$ED$15,3,)</f>
        <v>2919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854</v>
      </c>
      <c r="H6" s="3">
        <f>VLOOKUP($A$2,'Circuit Data'!$A$2:$ED$15,13,)</f>
        <v>818</v>
      </c>
      <c r="I6" s="3">
        <f>VLOOKUP($A$2,'Circuit Data'!$A$2:$ED$15,12,)</f>
        <v>833</v>
      </c>
      <c r="J6" s="3">
        <f>VLOOKUP($A$2,'Circuit Data'!$A$2:$ED$15,11,)</f>
        <v>917</v>
      </c>
      <c r="K6" s="3">
        <f>VLOOKUP($A$2,'Circuit Data'!$A$2:$ED$15,10,)</f>
        <v>951</v>
      </c>
      <c r="L6" s="3">
        <f>VLOOKUP($A$2,'Circuit Data'!$A$2:$ED$15,9,)</f>
        <v>931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1104</v>
      </c>
      <c r="H7" s="3">
        <f>VLOOKUP($A$2,'Circuit Data'!$A$2:$ED$15,19,)</f>
        <v>1011</v>
      </c>
      <c r="I7" s="3">
        <f>VLOOKUP($A$2,'Circuit Data'!$A$2:$ED$15,18,)</f>
        <v>1019</v>
      </c>
      <c r="J7" s="3">
        <f>VLOOKUP($A$2,'Circuit Data'!$A$2:$ED$15,17,)</f>
        <v>1007</v>
      </c>
      <c r="K7" s="3">
        <f>VLOOKUP($A$2,'Circuit Data'!$A$2:$ED$15,16,)</f>
        <v>1002</v>
      </c>
      <c r="L7" s="3">
        <f>VLOOKUP($A$2,'Circuit Data'!$A$2:$ED$15,15,)</f>
        <v>1033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903</v>
      </c>
      <c r="H8" s="3">
        <f>VLOOKUP($A$2,'Circuit Data'!$A$2:$ED$15,25,)</f>
        <v>1036</v>
      </c>
      <c r="I8" s="3">
        <f>VLOOKUP($A$2,'Circuit Data'!$A$2:$ED$15,24,)</f>
        <v>1155</v>
      </c>
      <c r="J8" s="3">
        <f>VLOOKUP($A$2,'Circuit Data'!$A$2:$ED$15,23,)</f>
        <v>843</v>
      </c>
      <c r="K8" s="3">
        <f>VLOOKUP($A$2,'Circuit Data'!$A$2:$ED$15,22,)</f>
        <v>829</v>
      </c>
      <c r="L8" s="3">
        <f>VLOOKUP($A$2,'Circuit Data'!$A$2:$ED$15,21,)</f>
        <v>825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159</v>
      </c>
      <c r="H9" s="3">
        <f>VLOOKUP($A$2,'Circuit Data'!$A$2:$ED$15,31,)</f>
        <v>157</v>
      </c>
      <c r="I9" s="3">
        <f>VLOOKUP($A$2,'Circuit Data'!$A$2:$ED$15,30,)</f>
        <v>106</v>
      </c>
      <c r="J9" s="3">
        <f>VLOOKUP($A$2,'Circuit Data'!$A$2:$ED$15,29,)</f>
        <v>111</v>
      </c>
      <c r="K9" s="3">
        <f>VLOOKUP($A$2,'Circuit Data'!$A$2:$ED$15,28,)</f>
        <v>118</v>
      </c>
      <c r="L9" s="3">
        <f>VLOOKUP($A$2,'Circuit Data'!$A$2:$ED$15,27,)</f>
        <v>130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0.7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-3.4</v>
      </c>
      <c r="H11" s="5">
        <f>VLOOKUP($A$2,'Circuit Data'!$A$2:$ED$15,37,)</f>
        <v>-3.4</v>
      </c>
      <c r="I11" s="5">
        <f>VLOOKUP($A$2,'Circuit Data'!$A$2:$ED$15,36,)</f>
        <v>-6.2</v>
      </c>
      <c r="J11" s="5">
        <f>VLOOKUP($A$2,'Circuit Data'!$A$2:$ED$15,35,)</f>
        <v>1.4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2988</v>
      </c>
      <c r="H12" s="9">
        <f>VLOOKUP($A$2,'Circuit Data'!$A$2:$ED$15,43,)</f>
        <v>3103</v>
      </c>
      <c r="I12" s="3">
        <f>VLOOKUP($A$2,'Circuit Data'!$A$2:$ED$15,42,)</f>
        <v>3140</v>
      </c>
      <c r="J12" s="3">
        <f>VLOOKUP($A$2,'Circuit Data'!$A$2:$ED$15,41,)</f>
        <v>3397</v>
      </c>
      <c r="K12" s="3">
        <f>VLOOKUP($A$2,'Circuit Data'!$A$2:$ED$15,40,)</f>
        <v>3281</v>
      </c>
      <c r="L12" s="3">
        <f>VLOOKUP($A$2,'Circuit Data'!$A$2:$ED$15,39,)</f>
        <v>2934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149</v>
      </c>
      <c r="H13" s="3">
        <f>VLOOKUP($A$2,'Circuit Data'!$A$2:$ED$15,49,)</f>
        <v>160</v>
      </c>
      <c r="I13" s="3">
        <f>VLOOKUP($A$2,'Circuit Data'!$A$2:$ED$15,48,)</f>
        <v>159</v>
      </c>
      <c r="J13" s="3">
        <f>VLOOKUP($A$2,'Circuit Data'!$A$2:$ED$15,47,)</f>
        <v>153</v>
      </c>
      <c r="K13" s="3">
        <f>VLOOKUP($A$2,'Circuit Data'!$A$2:$ED$15,46,)</f>
        <v>123</v>
      </c>
      <c r="L13" s="3">
        <f>VLOOKUP($A$2,'Circuit Data'!$A$2:$ED$15,45,)</f>
        <v>110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984</v>
      </c>
      <c r="H14" s="3">
        <f>VLOOKUP($A$2,'Circuit Data'!$A$2:$ED$15,55,)</f>
        <v>1021</v>
      </c>
      <c r="I14" s="3">
        <f>VLOOKUP($A$2,'Circuit Data'!$A$2:$ED$15,54,)</f>
        <v>927</v>
      </c>
      <c r="J14" s="3">
        <f>VLOOKUP($A$2,'Circuit Data'!$A$2:$ED$15,53,)</f>
        <v>951</v>
      </c>
      <c r="K14" s="3">
        <f>VLOOKUP($A$2,'Circuit Data'!$A$2:$ED$15,52,)</f>
        <v>983</v>
      </c>
      <c r="L14" s="3">
        <f>VLOOKUP($A$2,'Circuit Data'!$A$2:$ED$15,51,)</f>
        <v>934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1855</v>
      </c>
      <c r="H15" s="3">
        <f>VLOOKUP($A$2,'Circuit Data'!$A$2:$ED$15,61,)</f>
        <v>1922</v>
      </c>
      <c r="I15" s="3">
        <f>VLOOKUP($A$2,'Circuit Data'!$A$2:$ED$15,60,)</f>
        <v>2054</v>
      </c>
      <c r="J15" s="3">
        <f>VLOOKUP($A$2,'Circuit Data'!$A$2:$ED$15,59,)</f>
        <v>2293</v>
      </c>
      <c r="K15" s="3">
        <f>VLOOKUP($A$2,'Circuit Data'!$A$2:$ED$15,58,)</f>
        <v>2175</v>
      </c>
      <c r="L15" s="3">
        <f>VLOOKUP($A$2,'Circuit Data'!$A$2:$ED$15,57,)</f>
        <v>2000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310</v>
      </c>
      <c r="H16" s="3">
        <f>VLOOKUP($A$2,'Circuit Data'!$A$2:$ED$15,67,)</f>
        <v>300</v>
      </c>
      <c r="I16" s="3">
        <f>VLOOKUP($A$2,'Circuit Data'!$A$2:$ED$15,66,)</f>
        <v>289</v>
      </c>
      <c r="J16" s="3">
        <f>VLOOKUP($A$2,'Circuit Data'!$A$2:$ED$15,65,)</f>
        <v>482</v>
      </c>
      <c r="K16" s="3">
        <f>VLOOKUP($A$2,'Circuit Data'!$A$2:$ED$15,64,)</f>
        <v>425</v>
      </c>
      <c r="L16" s="3">
        <f>VLOOKUP($A$2,'Circuit Data'!$A$2:$ED$15,63,)</f>
        <v>387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781</v>
      </c>
      <c r="H17" s="3">
        <f>VLOOKUP($A$2,'Circuit Data'!$A$2:$ED$15,73,)</f>
        <v>715</v>
      </c>
      <c r="I17" s="3">
        <f>VLOOKUP($A$2,'Circuit Data'!$A$2:$ED$15,72,)</f>
        <v>761</v>
      </c>
      <c r="J17" s="3">
        <f>VLOOKUP($A$2,'Circuit Data'!$A$2:$ED$15,71,)</f>
        <v>864</v>
      </c>
      <c r="K17" s="3">
        <f>VLOOKUP($A$2,'Circuit Data'!$A$2:$ED$15,70,)</f>
        <v>836</v>
      </c>
      <c r="L17" s="3">
        <f>VLOOKUP($A$2,'Circuit Data'!$A$2:$ED$15,69,)</f>
        <v>825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667</v>
      </c>
      <c r="H18" s="3">
        <f>VLOOKUP($A$2,'Circuit Data'!$A$2:$ED$15,79,)</f>
        <v>796</v>
      </c>
      <c r="I18" s="3">
        <f>VLOOKUP($A$2,'Circuit Data'!$A$2:$ED$15,78,)</f>
        <v>915</v>
      </c>
      <c r="J18" s="3">
        <f>VLOOKUP($A$2,'Circuit Data'!$A$2:$ED$15,77,)</f>
        <v>834</v>
      </c>
      <c r="K18" s="3">
        <f>VLOOKUP($A$2,'Circuit Data'!$A$2:$ED$15,76,)</f>
        <v>813</v>
      </c>
      <c r="L18" s="3">
        <f>VLOOKUP($A$2,'Circuit Data'!$A$2:$ED$15,75,)</f>
        <v>712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97</v>
      </c>
      <c r="H19" s="3">
        <f>VLOOKUP($A$2,'Circuit Data'!$A$2:$ED$15,85,)</f>
        <v>111</v>
      </c>
      <c r="I19" s="3">
        <f>VLOOKUP($A$2,'Circuit Data'!$A$2:$ED$15,84,)</f>
        <v>89</v>
      </c>
      <c r="J19" s="3">
        <f>VLOOKUP($A$2,'Circuit Data'!$A$2:$ED$15,83,)</f>
        <v>113</v>
      </c>
      <c r="K19" s="3">
        <f>VLOOKUP($A$2,'Circuit Data'!$A$2:$ED$15,82,)</f>
        <v>101</v>
      </c>
      <c r="L19" s="3">
        <f>VLOOKUP($A$2,'Circuit Data'!$A$2:$ED$15,81,)</f>
        <v>76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80.8</v>
      </c>
      <c r="H20" s="5">
        <f>VLOOKUP($A$2,'Circuit Data'!$A$2:$ED$15,91,)</f>
        <v>86.6</v>
      </c>
      <c r="I20" s="5">
        <f>VLOOKUP($A$2,'Circuit Data'!$A$2:$ED$15,90,)</f>
        <v>86.4</v>
      </c>
      <c r="J20" s="5">
        <f>VLOOKUP($A$2,'Circuit Data'!$A$2:$ED$15,89,)</f>
        <v>85.1</v>
      </c>
      <c r="K20" s="5">
        <f>VLOOKUP($A$2,'Circuit Data'!$A$2:$ED$15,88,)</f>
        <v>84.7</v>
      </c>
      <c r="L20" s="5">
        <f>VLOOKUP($A$2,'Circuit Data'!$A$2:$ED$15,87,)</f>
        <v>77.599999999999994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2052</v>
      </c>
      <c r="H21" s="3">
        <f>VLOOKUP($A$2,'Circuit Data'!$A$2:$ED$15,97,)</f>
        <v>1963</v>
      </c>
      <c r="I21" s="3">
        <f>VLOOKUP($A$2,'Circuit Data'!$A$2:$ED$15,96,)</f>
        <v>1935</v>
      </c>
      <c r="J21" s="3">
        <f>VLOOKUP($A$2,'Circuit Data'!$A$2:$ED$15,95,)</f>
        <v>1416</v>
      </c>
      <c r="K21" s="3">
        <f>VLOOKUP($A$2,'Circuit Data'!$A$2:$ED$15,94,)</f>
        <v>1415</v>
      </c>
      <c r="L21" s="3">
        <f>VLOOKUP($A$2,'Circuit Data'!$A$2:$ED$15,93,)</f>
        <v>1399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415</v>
      </c>
      <c r="H22" s="3">
        <f>VLOOKUP($A$2,'Circuit Data'!$A$2:$ED$15,103,)</f>
        <v>458</v>
      </c>
      <c r="I22" s="3">
        <f>VLOOKUP($A$2,'Circuit Data'!$A$2:$ED$15,102,)</f>
        <v>487</v>
      </c>
      <c r="J22" s="3">
        <f>VLOOKUP($A$2,'Circuit Data'!$A$2:$ED$15,101,)</f>
        <v>533</v>
      </c>
      <c r="K22" s="3">
        <f>VLOOKUP($A$2,'Circuit Data'!$A$2:$ED$15,100,)</f>
        <v>502</v>
      </c>
      <c r="L22" s="3">
        <f>VLOOKUP($A$2,'Circuit Data'!$A$2:$ED$15,99,)</f>
        <v>448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146</v>
      </c>
      <c r="H23" s="3">
        <f>VLOOKUP($A$2,'Circuit Data'!$A$2:$ED$15,109,)</f>
        <v>147</v>
      </c>
      <c r="I23" s="3">
        <f>VLOOKUP($A$2,'Circuit Data'!$A$2:$ED$15,108,)</f>
        <v>133</v>
      </c>
      <c r="J23" s="3">
        <f>VLOOKUP($A$2,'Circuit Data'!$A$2:$ED$15,107,)</f>
        <v>129</v>
      </c>
      <c r="K23" s="3">
        <f>VLOOKUP($A$2,'Circuit Data'!$A$2:$ED$15,106,)</f>
        <v>140</v>
      </c>
      <c r="L23" s="3">
        <f>VLOOKUP($A$2,'Circuit Data'!$A$2:$ED$15,105,)</f>
        <v>112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147</v>
      </c>
      <c r="H24" s="3">
        <f>VLOOKUP($A$2,'Circuit Data'!$A$2:$ED$15,115,)</f>
        <v>154</v>
      </c>
      <c r="I24" s="3">
        <f>VLOOKUP($A$2,'Circuit Data'!$A$2:$ED$15,114,)</f>
        <v>166</v>
      </c>
      <c r="J24" s="3">
        <f>VLOOKUP($A$2,'Circuit Data'!$A$2:$ED$15,113,)</f>
        <v>178</v>
      </c>
      <c r="K24" s="3">
        <f>VLOOKUP($A$2,'Circuit Data'!$A$2:$ED$15,112,)</f>
        <v>168</v>
      </c>
      <c r="L24" s="3">
        <f>VLOOKUP($A$2,'Circuit Data'!$A$2:$ED$15,111,)</f>
        <v>141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49</v>
      </c>
      <c r="H25" s="3">
        <f>VLOOKUP($A$2,'Circuit Data'!$A$2:$ED$15,121,)</f>
        <v>49</v>
      </c>
      <c r="I25" s="3">
        <f>VLOOKUP($A$2,'Circuit Data'!$A$2:$ED$15,120,)</f>
        <v>48</v>
      </c>
      <c r="J25" s="3">
        <f>VLOOKUP($A$2,'Circuit Data'!$A$2:$ED$15,119,)</f>
        <v>46</v>
      </c>
      <c r="K25" s="3">
        <f>VLOOKUP($A$2,'Circuit Data'!$A$2:$ED$15,118,)</f>
        <v>47</v>
      </c>
      <c r="L25" s="3">
        <f>VLOOKUP($A$2,'Circuit Data'!$A$2:$ED$15,117,)</f>
        <v>45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54</v>
      </c>
      <c r="H26" s="3">
        <f>VLOOKUP($A$2,'Circuit Data'!$A$2:$ED$15,127,)</f>
        <v>54</v>
      </c>
      <c r="I26" s="3">
        <f>VLOOKUP($A$2,'Circuit Data'!$A$2:$ED$15,126,)</f>
        <v>52</v>
      </c>
      <c r="J26" s="3">
        <f>VLOOKUP($A$2,'Circuit Data'!$A$2:$ED$15,125,)</f>
        <v>71</v>
      </c>
      <c r="K26" s="3">
        <f>VLOOKUP($A$2,'Circuit Data'!$A$2:$ED$15,124,)</f>
        <v>63</v>
      </c>
      <c r="L26" s="3">
        <f>VLOOKUP($A$2,'Circuit Data'!$A$2:$ED$15,123,)</f>
        <v>42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>
        <f>VLOOKUP($A$2,'Circuit Data'!$A$2:$ED$15,134,)</f>
        <v>44</v>
      </c>
      <c r="H27" s="3">
        <f>VLOOKUP($A$2,'Circuit Data'!$A$2:$ED$15,133,)</f>
        <v>51</v>
      </c>
      <c r="I27" s="3">
        <f>VLOOKUP($A$2,'Circuit Data'!$A$2:$ED$15,132,)</f>
        <v>66</v>
      </c>
      <c r="J27" s="3">
        <f>VLOOKUP($A$2,'Circuit Data'!$A$2:$ED$15,131,)</f>
        <v>61</v>
      </c>
      <c r="K27" s="3">
        <f>VLOOKUP($A$2,'Circuit Data'!$A$2:$ED$15,130,)</f>
        <v>58</v>
      </c>
      <c r="L27" s="3">
        <f>VLOOKUP($A$2,'Circuit Data'!$A$2:$ED$15,129,)</f>
        <v>54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EIGHTH CIRCUIT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11/3.7</v>
      </c>
      <c r="H34" s="3" t="str">
        <f>VLOOKUP($A$2,'Circuit Data2'!$A$2:$EP$15,12,)&amp;"/"&amp;TEXT(VLOOKUP($A$2,'Circuit Data2'!$A$2:$EP$15,13,),"0.0")</f>
        <v>11/3.7</v>
      </c>
      <c r="I34" s="3" t="str">
        <f>VLOOKUP($A$2,'Circuit Data2'!$A$2:$EP$15,10,)&amp;"/"&amp;TEXT(VLOOKUP($A$2,'Circuit Data2'!$A$2:$EP$15,11,),"0.0")</f>
        <v>11/3.7</v>
      </c>
      <c r="J34" s="3" t="str">
        <f>VLOOKUP($A$2,'Circuit Data2'!$A$2:$EP$15,8,)&amp;"/"&amp;TEXT(VLOOKUP($A$2,'Circuit Data2'!$A$2:$EP$15,9,),"0.0")</f>
        <v>11/3.7</v>
      </c>
      <c r="K34" s="3" t="str">
        <f>VLOOKUP($A$2,'Circuit Data2'!$A$2:$EP$15,6,)&amp;"/"&amp;TEXT(VLOOKUP($A$2,'Circuit Data2'!$A$2:$EP$15,7,),"0.0")</f>
        <v>11/3.7</v>
      </c>
      <c r="L34" s="3" t="str">
        <f>VLOOKUP($A$2,'Circuit Data2'!$A$2:$EP$15,4,)&amp;"/"&amp;TEXT(VLOOKUP($A$2,'Circuit Data2'!$A$2:$EP$15,5,),"0.0")</f>
        <v>11/3.7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8</v>
      </c>
      <c r="H35" s="3">
        <f>VLOOKUP($A$2,'Circuit Data2'!$A$2:$EP$15,20,)</f>
        <v>8</v>
      </c>
      <c r="I35" s="3">
        <f>VLOOKUP($A$2,'Circuit Data2'!$A$2:$EP$15,19,)</f>
        <v>6</v>
      </c>
      <c r="J35" s="3">
        <f>VLOOKUP($A$2,'Circuit Data2'!$A$2:$EP$15,18,)</f>
        <v>6</v>
      </c>
      <c r="K35" s="3">
        <f>VLOOKUP($A$2,'Circuit Data2'!$A$2:$EP$15,17,)</f>
        <v>6</v>
      </c>
      <c r="L35" s="3">
        <f>VLOOKUP($A$2,'Circuit Data2'!$A$2:$EP$15,16,)</f>
        <v>6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0</v>
      </c>
      <c r="H36" s="17">
        <f>VLOOKUP($A$2,'Circuit Data2'!$A$2:$EP$15,26,)</f>
        <v>0</v>
      </c>
      <c r="I36" s="17">
        <f>VLOOKUP($A$2,'Circuit Data2'!$A$2:$EP$15,25,)</f>
        <v>0</v>
      </c>
      <c r="J36" s="17">
        <f>VLOOKUP($A$2,'Circuit Data2'!$A$2:$EP$15,24,)</f>
        <v>0</v>
      </c>
      <c r="K36" s="17">
        <f>VLOOKUP($A$2,'Circuit Data2'!$A$2:$EP$15,23,)</f>
        <v>0</v>
      </c>
      <c r="L36" s="17">
        <f>VLOOKUP($A$2,'Circuit Data2'!$A$2:$EP$15,22,)</f>
        <v>0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824</v>
      </c>
      <c r="H37" s="3">
        <f>VLOOKUP($A$2,'Circuit Data2'!$A$2:$EP$15,32,)</f>
        <v>824</v>
      </c>
      <c r="I37" s="3">
        <f>VLOOKUP($A$2,'Circuit Data2'!$A$2:$EP$15,31,)</f>
        <v>849</v>
      </c>
      <c r="J37" s="3">
        <f>VLOOKUP($A$2,'Circuit Data2'!$A$2:$EP$15,30,)</f>
        <v>785</v>
      </c>
      <c r="K37" s="3">
        <f>VLOOKUP($A$2,'Circuit Data2'!$A$2:$EP$15,29,)</f>
        <v>791</v>
      </c>
      <c r="L37" s="3">
        <f>VLOOKUP($A$2,'Circuit Data2'!$A$2:$EP$15,28,)</f>
        <v>796</v>
      </c>
      <c r="M37" s="16">
        <f>VLOOKUP($A$2,'Circuit Data2'!$A$2:$EP$15,34,)</f>
        <v>9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233</v>
      </c>
      <c r="H38" s="3">
        <f>VLOOKUP($A$2,'Circuit Data2'!$A$2:$EP$15,39,)</f>
        <v>223</v>
      </c>
      <c r="I38" s="3">
        <f>VLOOKUP($A$2,'Circuit Data2'!$A$2:$EP$15,38,)</f>
        <v>227</v>
      </c>
      <c r="J38" s="3">
        <f>VLOOKUP($A$2,'Circuit Data2'!$A$2:$EP$15,37,)</f>
        <v>250</v>
      </c>
      <c r="K38" s="3">
        <f>VLOOKUP($A$2,'Circuit Data2'!$A$2:$EP$15,36,)</f>
        <v>259</v>
      </c>
      <c r="L38" s="3">
        <f>VLOOKUP($A$2,'Circuit Data2'!$A$2:$EP$15,35,)</f>
        <v>254</v>
      </c>
      <c r="M38" s="11">
        <f>VLOOKUP($A$2,'Circuit Data2'!$A$2:$EP$15,41,)</f>
        <v>7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302</v>
      </c>
      <c r="H39" s="3">
        <f>VLOOKUP($A$2,'Circuit Data2'!$A$2:$EP$15,46,)</f>
        <v>275</v>
      </c>
      <c r="I39" s="3">
        <f>VLOOKUP($A$2,'Circuit Data2'!$A$2:$EP$15,45,)</f>
        <v>278</v>
      </c>
      <c r="J39" s="3">
        <f>VLOOKUP($A$2,'Circuit Data2'!$A$2:$EP$15,44,)</f>
        <v>275</v>
      </c>
      <c r="K39" s="3">
        <f>VLOOKUP($A$2,'Circuit Data2'!$A$2:$EP$15,43,)</f>
        <v>274</v>
      </c>
      <c r="L39" s="3">
        <f>VLOOKUP($A$2,'Circuit Data2'!$A$2:$EP$15,42,)</f>
        <v>282</v>
      </c>
      <c r="M39" s="12">
        <f>VLOOKUP($A$2,'Circuit Data2'!$A$2:$EP$15,48,)</f>
        <v>9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246</v>
      </c>
      <c r="H40" s="3">
        <f>VLOOKUP($A$2,'Circuit Data2'!$A$2:$EP$15,53,)</f>
        <v>283</v>
      </c>
      <c r="I40" s="3">
        <f>VLOOKUP($A$2,'Circuit Data2'!$A$2:$EP$15,52,)</f>
        <v>315</v>
      </c>
      <c r="J40" s="3">
        <f>VLOOKUP($A$2,'Circuit Data2'!$A$2:$EP$15,51,)</f>
        <v>230</v>
      </c>
      <c r="K40" s="14">
        <f>VLOOKUP($A$2,'Circuit Data2'!$A$2:$EP$15,50,)</f>
        <v>226</v>
      </c>
      <c r="L40" s="3">
        <f>VLOOKUP($A$2,'Circuit Data2'!$A$2:$EP$15,49,)</f>
        <v>225</v>
      </c>
      <c r="M40" s="12">
        <f>VLOOKUP($A$2,'Circuit Data2'!$A$2:$EP$15,55,)</f>
        <v>5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43</v>
      </c>
      <c r="H41" s="3">
        <f>VLOOKUP($A$2,'Circuit Data2'!$A$2:$EP$15,60,)</f>
        <v>43</v>
      </c>
      <c r="I41" s="3">
        <f>VLOOKUP($A$2,'Circuit Data2'!$A$2:$EP$15,59,)</f>
        <v>29</v>
      </c>
      <c r="J41" s="3">
        <f>VLOOKUP($A$2,'Circuit Data2'!$A$2:$EP$15,58,)</f>
        <v>30</v>
      </c>
      <c r="K41" s="3">
        <f>VLOOKUP($A$2,'Circuit Data2'!$A$2:$EP$15,57,)</f>
        <v>32</v>
      </c>
      <c r="L41" s="3">
        <f>VLOOKUP($A$2,'Circuit Data2'!$A$2:$EP$15,56,)</f>
        <v>35</v>
      </c>
      <c r="M41" s="12">
        <f>VLOOKUP($A$2,'Circuit Data2'!$A$2:$EP$15,62,)</f>
        <v>11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815</v>
      </c>
      <c r="H42" s="3">
        <f>VLOOKUP($A$2,'Circuit Data2'!$A$2:$EP$15,67,)</f>
        <v>846</v>
      </c>
      <c r="I42" s="3">
        <f>VLOOKUP($A$2,'Circuit Data2'!$A$2:$EP$15,66,)</f>
        <v>856</v>
      </c>
      <c r="J42" s="3">
        <f>VLOOKUP($A$2,'Circuit Data2'!$A$2:$EP$15,65,)</f>
        <v>926</v>
      </c>
      <c r="K42" s="3">
        <f>VLOOKUP($A$2,'Circuit Data2'!$A$2:$EP$15,64,)</f>
        <v>895</v>
      </c>
      <c r="L42" s="3">
        <f>VLOOKUP($A$2,'Circuit Data2'!$A$2:$EP$15,63,)</f>
        <v>800</v>
      </c>
      <c r="M42" s="13">
        <f>VLOOKUP($A$2,'Circuit Data2'!$A$2:$EP$15,69,)</f>
        <v>9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41</v>
      </c>
      <c r="H43" s="15">
        <f>VLOOKUP($A$2,'Circuit Data2'!$A$2:$EP$15,74,)</f>
        <v>44</v>
      </c>
      <c r="I43" s="3">
        <f>VLOOKUP($A$2,'Circuit Data2'!$A$2:$EP$15,73,)</f>
        <v>43</v>
      </c>
      <c r="J43" s="3">
        <f>VLOOKUP($A$2,'Circuit Data2'!$A$2:$EP$15,72,)</f>
        <v>42</v>
      </c>
      <c r="K43" s="3">
        <f>VLOOKUP($A$2,'Circuit Data2'!$A$2:$EP$15,71,)</f>
        <v>34</v>
      </c>
      <c r="L43" s="3">
        <f>VLOOKUP($A$2,'Circuit Data2'!$A$2:$EP$15,70,)</f>
        <v>30</v>
      </c>
      <c r="M43" s="13">
        <f>VLOOKUP($A$2,'Circuit Data2'!$A$2:$EP$15,76,)</f>
        <v>10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268</v>
      </c>
      <c r="H44" s="3">
        <f>VLOOKUP($A$2,'Circuit Data2'!$A$2:$EP$15,81,)</f>
        <v>278</v>
      </c>
      <c r="I44" s="3">
        <f>VLOOKUP($A$2,'Circuit Data2'!$A$2:$EP$15,80,)</f>
        <v>253</v>
      </c>
      <c r="J44" s="3">
        <f>VLOOKUP($A$2,'Circuit Data2'!$A$2:$EP$15,79,)</f>
        <v>259</v>
      </c>
      <c r="K44" s="3">
        <f>VLOOKUP($A$2,'Circuit Data2'!$A$2:$EP$15,78,)</f>
        <v>268</v>
      </c>
      <c r="L44" s="3">
        <f>VLOOKUP($A$2,'Circuit Data2'!$A$2:$EP$15,77,)</f>
        <v>255</v>
      </c>
      <c r="M44" s="13">
        <f>VLOOKUP($A$2,'Circuit Data2'!$A$2:$EP$15,83,)</f>
        <v>10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506</v>
      </c>
      <c r="H45" s="3">
        <f>VLOOKUP($A$2,'Circuit Data2'!$A$2:$EP$15,88,)</f>
        <v>524</v>
      </c>
      <c r="I45" s="3">
        <f>VLOOKUP($A$2,'Circuit Data2'!$A$2:$EP$15,87,)</f>
        <v>560</v>
      </c>
      <c r="J45" s="3">
        <f>VLOOKUP($A$2,'Circuit Data2'!$A$2:$EP$15,86,)</f>
        <v>625</v>
      </c>
      <c r="K45" s="3">
        <f>VLOOKUP($A$2,'Circuit Data2'!$A$2:$EP$15,85,)</f>
        <v>593</v>
      </c>
      <c r="L45" s="3">
        <f>VLOOKUP($A$2,'Circuit Data2'!$A$2:$EP$15,84,)</f>
        <v>545</v>
      </c>
      <c r="M45" s="13">
        <f>VLOOKUP($A$2,'Circuit Data2'!$A$2:$EP$15,90,)</f>
        <v>8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85</v>
      </c>
      <c r="H46" s="3">
        <f>VLOOKUP($A$2,'Circuit Data2'!$A$2:$EP$15,95,)</f>
        <v>82</v>
      </c>
      <c r="I46" s="3">
        <f>VLOOKUP($A$2,'Circuit Data2'!$A$2:$EP$15,94,)</f>
        <v>79</v>
      </c>
      <c r="J46" s="3">
        <f>VLOOKUP($A$2,'Circuit Data2'!$A$2:$EP$15,93,)</f>
        <v>131</v>
      </c>
      <c r="K46" s="3">
        <f>VLOOKUP($A$2,'Circuit Data2'!$A$2:$EP$15,92,)</f>
        <v>116</v>
      </c>
      <c r="L46" s="3">
        <f>VLOOKUP($A$2,'Circuit Data2'!$A$2:$EP$15,91,)</f>
        <v>106</v>
      </c>
      <c r="M46" s="11">
        <f>VLOOKUP($A$2,'Circuit Data2'!$A$2:$EP$15,97,)</f>
        <v>7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213</v>
      </c>
      <c r="H47" s="3">
        <f>VLOOKUP($A$2,'Circuit Data2'!$A$2:$EP$15,102,)</f>
        <v>195</v>
      </c>
      <c r="I47" s="3">
        <f>VLOOKUP($A$2,'Circuit Data2'!$A$2:$EP$15,101,)</f>
        <v>207</v>
      </c>
      <c r="J47" s="3">
        <f>VLOOKUP($A$2,'Circuit Data2'!$A$2:$EP$15,100,)</f>
        <v>236</v>
      </c>
      <c r="K47" s="3">
        <f>VLOOKUP($A$2,'Circuit Data2'!$A$2:$EP$15,99,)</f>
        <v>227</v>
      </c>
      <c r="L47" s="15">
        <f>VLOOKUP($A$2,'Circuit Data2'!$A$2:$EP$15,98,)</f>
        <v>224</v>
      </c>
      <c r="M47" s="13">
        <f>VLOOKUP($A$2,'Circuit Data2'!$A$2:$EP$15,104,)</f>
        <v>5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182</v>
      </c>
      <c r="H48" s="3">
        <f>VLOOKUP($A$2,'Circuit Data2'!$A$2:$EP$15,109,)</f>
        <v>217</v>
      </c>
      <c r="I48" s="3">
        <f>VLOOKUP($A$2,'Circuit Data2'!$A$2:$EP$15,108,)</f>
        <v>250</v>
      </c>
      <c r="J48" s="3">
        <f>VLOOKUP($A$2,'Circuit Data2'!$A$2:$EP$15,107,)</f>
        <v>227</v>
      </c>
      <c r="K48" s="3">
        <f>VLOOKUP($A$2,'Circuit Data2'!$A$2:$EP$15,106,)</f>
        <v>222</v>
      </c>
      <c r="L48" s="3">
        <f>VLOOKUP($A$2,'Circuit Data2'!$A$2:$EP$15,105,)</f>
        <v>194</v>
      </c>
      <c r="M48" s="13">
        <f>VLOOKUP($A$2,'Circuit Data2'!$A$2:$EP$15,111,)</f>
        <v>5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26</v>
      </c>
      <c r="H49" s="3">
        <f>VLOOKUP($A$2,'Circuit Data2'!$A$2:$EP$15,116,)</f>
        <v>30</v>
      </c>
      <c r="I49" s="3">
        <f>VLOOKUP($A$2,'Circuit Data2'!$A$2:$EP$15,115,)</f>
        <v>24</v>
      </c>
      <c r="J49" s="3">
        <f>VLOOKUP($A$2,'Circuit Data2'!$A$2:$EP$15,114,)</f>
        <v>31</v>
      </c>
      <c r="K49" s="3">
        <f>VLOOKUP($A$2,'Circuit Data2'!$A$2:$EP$15,113,)</f>
        <v>28</v>
      </c>
      <c r="L49" s="3">
        <f>VLOOKUP($A$2,'Circuit Data2'!$A$2:$EP$15,112,)</f>
        <v>21</v>
      </c>
      <c r="M49" s="13">
        <f>VLOOKUP($A$2,'Circuit Data2'!$A$2:$EP$15,118,)</f>
        <v>11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560</v>
      </c>
      <c r="H50" s="3">
        <f>VLOOKUP($A$2,'Circuit Data2'!$A$2:$EP$15,123,)</f>
        <v>535</v>
      </c>
      <c r="I50" s="3">
        <f>VLOOKUP($A$2,'Circuit Data2'!$A$2:$EP$15,122,)</f>
        <v>528</v>
      </c>
      <c r="J50" s="3">
        <f>VLOOKUP($A$2,'Circuit Data2'!$A$2:$EP$15,121,)</f>
        <v>386</v>
      </c>
      <c r="K50" s="3">
        <f>VLOOKUP($A$2,'Circuit Data2'!$A$2:$EP$15,120,)</f>
        <v>386</v>
      </c>
      <c r="L50" s="3">
        <f>VLOOKUP($A$2,'Circuit Data2'!$A$2:$EP$15,119,)</f>
        <v>382</v>
      </c>
      <c r="M50" s="13">
        <f>VLOOKUP($A$2,'Circuit Data2'!$A$2:$EP$15,125,)</f>
        <v>10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11.2</v>
      </c>
      <c r="H51" s="10">
        <f>VLOOKUP($A$2,'Circuit Data2'!$A$2:$EP$15,130,)</f>
        <v>11.4</v>
      </c>
      <c r="I51" s="5">
        <f>VLOOKUP($A$2,'Circuit Data2'!$A$2:$EP$15,129,)</f>
        <v>10.9</v>
      </c>
      <c r="J51" s="5">
        <f>VLOOKUP($A$2,'Circuit Data2'!$A$2:$EP$15,128,)</f>
        <v>10</v>
      </c>
      <c r="K51" s="5">
        <f>VLOOKUP($A$2,'Circuit Data2'!$A$2:$EP$15,127,)</f>
        <v>9</v>
      </c>
      <c r="L51" s="5">
        <f>VLOOKUP($A$2,'Circuit Data2'!$A$2:$EP$15,126,)</f>
        <v>6.7</v>
      </c>
      <c r="M51" s="12">
        <f>VLOOKUP($A$2,'Circuit Data2'!$A$2:$EP$15,132,)</f>
        <v>1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2</v>
      </c>
      <c r="H52" s="3">
        <f>VLOOKUP($A$2,'Circuit Data2'!$A$2:$EP$15,137,)</f>
        <v>1</v>
      </c>
      <c r="I52" s="3">
        <f>VLOOKUP($A$2,'Circuit Data2'!$A$2:$EP$15,136,)</f>
        <v>3</v>
      </c>
      <c r="J52" s="3">
        <f>VLOOKUP($A$2,'Circuit Data2'!$A$2:$EP$15,135,)</f>
        <v>2</v>
      </c>
      <c r="K52" s="3">
        <f>VLOOKUP($A$2,'Circuit Data2'!$A$2:$EP$15,134,)</f>
        <v>3</v>
      </c>
      <c r="L52" s="3">
        <f>VLOOKUP($A$2,'Circuit Data2'!$A$2:$EP$15,133,)</f>
        <v>2</v>
      </c>
      <c r="M52" s="11">
        <f>VLOOKUP($A$2,'Circuit Data2'!$A$2:$EP$15,139,)</f>
        <v>3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70</v>
      </c>
      <c r="H53" s="3">
        <f>VLOOKUP($A$2,'Circuit Data2'!$A$2:$EP$15,144,)</f>
        <v>75</v>
      </c>
      <c r="I53" s="3">
        <f>VLOOKUP($A$2,'Circuit Data2'!$A$2:$EP$15,143,)</f>
        <v>69</v>
      </c>
      <c r="J53" s="3">
        <f>VLOOKUP($A$2,'Circuit Data2'!$A$2:$EP$15,142,)</f>
        <v>90</v>
      </c>
      <c r="K53" s="3">
        <f>VLOOKUP($A$2,'Circuit Data2'!$A$2:$EP$15,141,)</f>
        <v>90</v>
      </c>
      <c r="L53" s="3">
        <f>VLOOKUP($A$2,'Circuit Data2'!$A$2:$EP$15,140,)</f>
        <v>84</v>
      </c>
      <c r="M53" s="11">
        <f>VLOOKUP($A$2,'Circuit Data2'!$A$2:$EP$15,146,)</f>
        <v>2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239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12549</v>
      </c>
      <c r="H5" s="3">
        <f>VLOOKUP($A$2,'Circuit Data'!$A$2:$ED$15,7,)</f>
        <v>13577</v>
      </c>
      <c r="I5" s="3">
        <f>VLOOKUP($A$2,'Circuit Data'!$A$2:$ED$15,6,)</f>
        <v>12211</v>
      </c>
      <c r="J5" s="3">
        <f>VLOOKUP($A$2,'Circuit Data'!$A$2:$ED$15,5,)</f>
        <v>11982</v>
      </c>
      <c r="K5" s="3">
        <f>VLOOKUP($A$2,'Circuit Data'!$A$2:$ED$15,4,)</f>
        <v>11999</v>
      </c>
      <c r="L5" s="3">
        <f>VLOOKUP($A$2,'Circuit Data'!$A$2:$ED$15,3,)</f>
        <v>12306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2656</v>
      </c>
      <c r="H6" s="3">
        <f>VLOOKUP($A$2,'Circuit Data'!$A$2:$ED$15,13,)</f>
        <v>3281</v>
      </c>
      <c r="I6" s="3">
        <f>VLOOKUP($A$2,'Circuit Data'!$A$2:$ED$15,12,)</f>
        <v>3233</v>
      </c>
      <c r="J6" s="3">
        <f>VLOOKUP($A$2,'Circuit Data'!$A$2:$ED$15,11,)</f>
        <v>3305</v>
      </c>
      <c r="K6" s="3">
        <f>VLOOKUP($A$2,'Circuit Data'!$A$2:$ED$15,10,)</f>
        <v>3370</v>
      </c>
      <c r="L6" s="3">
        <f>VLOOKUP($A$2,'Circuit Data'!$A$2:$ED$15,9,)</f>
        <v>3568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3669</v>
      </c>
      <c r="H7" s="3">
        <f>VLOOKUP($A$2,'Circuit Data'!$A$2:$ED$15,19,)</f>
        <v>3778</v>
      </c>
      <c r="I7" s="3">
        <f>VLOOKUP($A$2,'Circuit Data'!$A$2:$ED$15,18,)</f>
        <v>3754</v>
      </c>
      <c r="J7" s="3">
        <f>VLOOKUP($A$2,'Circuit Data'!$A$2:$ED$15,17,)</f>
        <v>3697</v>
      </c>
      <c r="K7" s="3">
        <f>VLOOKUP($A$2,'Circuit Data'!$A$2:$ED$15,16,)</f>
        <v>3691</v>
      </c>
      <c r="L7" s="3">
        <f>VLOOKUP($A$2,'Circuit Data'!$A$2:$ED$15,15,)</f>
        <v>3817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1739</v>
      </c>
      <c r="H8" s="3">
        <f>VLOOKUP($A$2,'Circuit Data'!$A$2:$ED$15,25,)</f>
        <v>1657</v>
      </c>
      <c r="I8" s="3">
        <f>VLOOKUP($A$2,'Circuit Data'!$A$2:$ED$15,24,)</f>
        <v>1682</v>
      </c>
      <c r="J8" s="3">
        <f>VLOOKUP($A$2,'Circuit Data'!$A$2:$ED$15,23,)</f>
        <v>1655</v>
      </c>
      <c r="K8" s="3">
        <f>VLOOKUP($A$2,'Circuit Data'!$A$2:$ED$15,22,)</f>
        <v>1656</v>
      </c>
      <c r="L8" s="3">
        <f>VLOOKUP($A$2,'Circuit Data'!$A$2:$ED$15,21,)</f>
        <v>1631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4485</v>
      </c>
      <c r="H9" s="3">
        <f>VLOOKUP($A$2,'Circuit Data'!$A$2:$ED$15,31,)</f>
        <v>4861</v>
      </c>
      <c r="I9" s="3">
        <f>VLOOKUP($A$2,'Circuit Data'!$A$2:$ED$15,30,)</f>
        <v>3542</v>
      </c>
      <c r="J9" s="3">
        <f>VLOOKUP($A$2,'Circuit Data'!$A$2:$ED$15,29,)</f>
        <v>3325</v>
      </c>
      <c r="K9" s="3">
        <f>VLOOKUP($A$2,'Circuit Data'!$A$2:$ED$15,28,)</f>
        <v>3282</v>
      </c>
      <c r="L9" s="3">
        <f>VLOOKUP($A$2,'Circuit Data'!$A$2:$ED$15,27,)</f>
        <v>3290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2.6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-1.9</v>
      </c>
      <c r="H11" s="5">
        <f>VLOOKUP($A$2,'Circuit Data'!$A$2:$ED$15,37,)</f>
        <v>-9.4</v>
      </c>
      <c r="I11" s="5">
        <f>VLOOKUP($A$2,'Circuit Data'!$A$2:$ED$15,36,)</f>
        <v>0.8</v>
      </c>
      <c r="J11" s="5">
        <f>VLOOKUP($A$2,'Circuit Data'!$A$2:$ED$15,35,)</f>
        <v>2.7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13600</v>
      </c>
      <c r="H12" s="9">
        <f>VLOOKUP($A$2,'Circuit Data'!$A$2:$ED$15,43,)</f>
        <v>12373</v>
      </c>
      <c r="I12" s="3">
        <f>VLOOKUP($A$2,'Circuit Data'!$A$2:$ED$15,42,)</f>
        <v>12818</v>
      </c>
      <c r="J12" s="3">
        <f>VLOOKUP($A$2,'Circuit Data'!$A$2:$ED$15,41,)</f>
        <v>13340</v>
      </c>
      <c r="K12" s="3">
        <f>VLOOKUP($A$2,'Circuit Data'!$A$2:$ED$15,40,)</f>
        <v>13471</v>
      </c>
      <c r="L12" s="3">
        <f>VLOOKUP($A$2,'Circuit Data'!$A$2:$ED$15,39,)</f>
        <v>12709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454</v>
      </c>
      <c r="H13" s="3">
        <f>VLOOKUP($A$2,'Circuit Data'!$A$2:$ED$15,49,)</f>
        <v>505</v>
      </c>
      <c r="I13" s="3">
        <f>VLOOKUP($A$2,'Circuit Data'!$A$2:$ED$15,48,)</f>
        <v>487</v>
      </c>
      <c r="J13" s="3">
        <f>VLOOKUP($A$2,'Circuit Data'!$A$2:$ED$15,47,)</f>
        <v>501</v>
      </c>
      <c r="K13" s="3">
        <f>VLOOKUP($A$2,'Circuit Data'!$A$2:$ED$15,46,)</f>
        <v>546</v>
      </c>
      <c r="L13" s="3">
        <f>VLOOKUP($A$2,'Circuit Data'!$A$2:$ED$15,45,)</f>
        <v>429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6643</v>
      </c>
      <c r="H14" s="3">
        <f>VLOOKUP($A$2,'Circuit Data'!$A$2:$ED$15,55,)</f>
        <v>6068</v>
      </c>
      <c r="I14" s="3">
        <f>VLOOKUP($A$2,'Circuit Data'!$A$2:$ED$15,54,)</f>
        <v>6822</v>
      </c>
      <c r="J14" s="3">
        <f>VLOOKUP($A$2,'Circuit Data'!$A$2:$ED$15,53,)</f>
        <v>6515</v>
      </c>
      <c r="K14" s="3">
        <f>VLOOKUP($A$2,'Circuit Data'!$A$2:$ED$15,52,)</f>
        <v>6354</v>
      </c>
      <c r="L14" s="3">
        <f>VLOOKUP($A$2,'Circuit Data'!$A$2:$ED$15,51,)</f>
        <v>5503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6503</v>
      </c>
      <c r="H15" s="3">
        <f>VLOOKUP($A$2,'Circuit Data'!$A$2:$ED$15,61,)</f>
        <v>5800</v>
      </c>
      <c r="I15" s="3">
        <f>VLOOKUP($A$2,'Circuit Data'!$A$2:$ED$15,60,)</f>
        <v>5509</v>
      </c>
      <c r="J15" s="3">
        <f>VLOOKUP($A$2,'Circuit Data'!$A$2:$ED$15,59,)</f>
        <v>6324</v>
      </c>
      <c r="K15" s="3">
        <f>VLOOKUP($A$2,'Circuit Data'!$A$2:$ED$15,58,)</f>
        <v>6571</v>
      </c>
      <c r="L15" s="3">
        <f>VLOOKUP($A$2,'Circuit Data'!$A$2:$ED$15,57,)</f>
        <v>7206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683</v>
      </c>
      <c r="H16" s="3">
        <f>VLOOKUP($A$2,'Circuit Data'!$A$2:$ED$15,67,)</f>
        <v>631</v>
      </c>
      <c r="I16" s="3">
        <f>VLOOKUP($A$2,'Circuit Data'!$A$2:$ED$15,66,)</f>
        <v>701</v>
      </c>
      <c r="J16" s="3">
        <f>VLOOKUP($A$2,'Circuit Data'!$A$2:$ED$15,65,)</f>
        <v>979</v>
      </c>
      <c r="K16" s="3">
        <f>VLOOKUP($A$2,'Circuit Data'!$A$2:$ED$15,64,)</f>
        <v>1116</v>
      </c>
      <c r="L16" s="3">
        <f>VLOOKUP($A$2,'Circuit Data'!$A$2:$ED$15,63,)</f>
        <v>1636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2118</v>
      </c>
      <c r="H17" s="3">
        <f>VLOOKUP($A$2,'Circuit Data'!$A$2:$ED$15,73,)</f>
        <v>1835</v>
      </c>
      <c r="I17" s="3">
        <f>VLOOKUP($A$2,'Circuit Data'!$A$2:$ED$15,72,)</f>
        <v>1620</v>
      </c>
      <c r="J17" s="3">
        <f>VLOOKUP($A$2,'Circuit Data'!$A$2:$ED$15,71,)</f>
        <v>1958</v>
      </c>
      <c r="K17" s="3">
        <f>VLOOKUP($A$2,'Circuit Data'!$A$2:$ED$15,70,)</f>
        <v>2081</v>
      </c>
      <c r="L17" s="3">
        <f>VLOOKUP($A$2,'Circuit Data'!$A$2:$ED$15,69,)</f>
        <v>2363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1365</v>
      </c>
      <c r="H18" s="3">
        <f>VLOOKUP($A$2,'Circuit Data'!$A$2:$ED$15,79,)</f>
        <v>1262</v>
      </c>
      <c r="I18" s="3">
        <f>VLOOKUP($A$2,'Circuit Data'!$A$2:$ED$15,78,)</f>
        <v>1110</v>
      </c>
      <c r="J18" s="3">
        <f>VLOOKUP($A$2,'Circuit Data'!$A$2:$ED$15,77,)</f>
        <v>1166</v>
      </c>
      <c r="K18" s="3">
        <f>VLOOKUP($A$2,'Circuit Data'!$A$2:$ED$15,76,)</f>
        <v>1126</v>
      </c>
      <c r="L18" s="3">
        <f>VLOOKUP($A$2,'Circuit Data'!$A$2:$ED$15,75,)</f>
        <v>1261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2337</v>
      </c>
      <c r="H19" s="3">
        <f>VLOOKUP($A$2,'Circuit Data'!$A$2:$ED$15,85,)</f>
        <v>2072</v>
      </c>
      <c r="I19" s="3">
        <f>VLOOKUP($A$2,'Circuit Data'!$A$2:$ED$15,84,)</f>
        <v>2078</v>
      </c>
      <c r="J19" s="3">
        <f>VLOOKUP($A$2,'Circuit Data'!$A$2:$ED$15,83,)</f>
        <v>2221</v>
      </c>
      <c r="K19" s="3">
        <f>VLOOKUP($A$2,'Circuit Data'!$A$2:$ED$15,82,)</f>
        <v>2248</v>
      </c>
      <c r="L19" s="3">
        <f>VLOOKUP($A$2,'Circuit Data'!$A$2:$ED$15,81,)</f>
        <v>1946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63.3</v>
      </c>
      <c r="H20" s="5">
        <f>VLOOKUP($A$2,'Circuit Data'!$A$2:$ED$15,91,)</f>
        <v>64.3</v>
      </c>
      <c r="I20" s="5">
        <f>VLOOKUP($A$2,'Circuit Data'!$A$2:$ED$15,90,)</f>
        <v>68.2</v>
      </c>
      <c r="J20" s="5">
        <f>VLOOKUP($A$2,'Circuit Data'!$A$2:$ED$15,89,)</f>
        <v>60.7</v>
      </c>
      <c r="K20" s="5">
        <f>VLOOKUP($A$2,'Circuit Data'!$A$2:$ED$15,88,)</f>
        <v>64.8</v>
      </c>
      <c r="L20" s="5">
        <f>VLOOKUP($A$2,'Circuit Data'!$A$2:$ED$15,87,)</f>
        <v>62.2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16267</v>
      </c>
      <c r="H21" s="3">
        <f>VLOOKUP($A$2,'Circuit Data'!$A$2:$ED$15,97,)</f>
        <v>17709</v>
      </c>
      <c r="I21" s="3">
        <f>VLOOKUP($A$2,'Circuit Data'!$A$2:$ED$15,96,)</f>
        <v>17306</v>
      </c>
      <c r="J21" s="3">
        <f>VLOOKUP($A$2,'Circuit Data'!$A$2:$ED$15,95,)</f>
        <v>15142</v>
      </c>
      <c r="K21" s="3">
        <f>VLOOKUP($A$2,'Circuit Data'!$A$2:$ED$15,94,)</f>
        <v>14504</v>
      </c>
      <c r="L21" s="3">
        <f>VLOOKUP($A$2,'Circuit Data'!$A$2:$ED$15,93,)</f>
        <v>14312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472</v>
      </c>
      <c r="H22" s="3">
        <f>VLOOKUP($A$2,'Circuit Data'!$A$2:$ED$15,103,)</f>
        <v>421</v>
      </c>
      <c r="I22" s="3">
        <f>VLOOKUP($A$2,'Circuit Data'!$A$2:$ED$15,102,)</f>
        <v>425</v>
      </c>
      <c r="J22" s="3">
        <f>VLOOKUP($A$2,'Circuit Data'!$A$2:$ED$15,101,)</f>
        <v>460</v>
      </c>
      <c r="K22" s="3">
        <f>VLOOKUP($A$2,'Circuit Data'!$A$2:$ED$15,100,)</f>
        <v>516</v>
      </c>
      <c r="L22" s="3">
        <f>VLOOKUP($A$2,'Circuit Data'!$A$2:$ED$15,99,)</f>
        <v>568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221</v>
      </c>
      <c r="H23" s="3">
        <f>VLOOKUP($A$2,'Circuit Data'!$A$2:$ED$15,109,)</f>
        <v>200</v>
      </c>
      <c r="I23" s="3">
        <f>VLOOKUP($A$2,'Circuit Data'!$A$2:$ED$15,108,)</f>
        <v>274</v>
      </c>
      <c r="J23" s="3">
        <f>VLOOKUP($A$2,'Circuit Data'!$A$2:$ED$15,107,)</f>
        <v>263</v>
      </c>
      <c r="K23" s="3">
        <f>VLOOKUP($A$2,'Circuit Data'!$A$2:$ED$15,106,)</f>
        <v>238</v>
      </c>
      <c r="L23" s="3">
        <f>VLOOKUP($A$2,'Circuit Data'!$A$2:$ED$15,105,)</f>
        <v>185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147</v>
      </c>
      <c r="H24" s="3">
        <f>VLOOKUP($A$2,'Circuit Data'!$A$2:$ED$15,115,)</f>
        <v>126</v>
      </c>
      <c r="I24" s="3">
        <f>VLOOKUP($A$2,'Circuit Data'!$A$2:$ED$15,114,)</f>
        <v>137</v>
      </c>
      <c r="J24" s="3">
        <f>VLOOKUP($A$2,'Circuit Data'!$A$2:$ED$15,113,)</f>
        <v>148</v>
      </c>
      <c r="K24" s="3">
        <f>VLOOKUP($A$2,'Circuit Data'!$A$2:$ED$15,112,)</f>
        <v>162</v>
      </c>
      <c r="L24" s="3">
        <f>VLOOKUP($A$2,'Circuit Data'!$A$2:$ED$15,111,)</f>
        <v>178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15</v>
      </c>
      <c r="H25" s="3">
        <f>VLOOKUP($A$2,'Circuit Data'!$A$2:$ED$15,121,)</f>
        <v>19</v>
      </c>
      <c r="I25" s="3">
        <f>VLOOKUP($A$2,'Circuit Data'!$A$2:$ED$15,120,)</f>
        <v>17</v>
      </c>
      <c r="J25" s="3">
        <f>VLOOKUP($A$2,'Circuit Data'!$A$2:$ED$15,119,)</f>
        <v>18</v>
      </c>
      <c r="K25" s="3">
        <f>VLOOKUP($A$2,'Circuit Data'!$A$2:$ED$15,118,)</f>
        <v>18</v>
      </c>
      <c r="L25" s="3">
        <f>VLOOKUP($A$2,'Circuit Data'!$A$2:$ED$15,117,)</f>
        <v>19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130</v>
      </c>
      <c r="H26" s="3">
        <f>VLOOKUP($A$2,'Circuit Data'!$A$2:$ED$15,127,)</f>
        <v>106</v>
      </c>
      <c r="I26" s="3">
        <f>VLOOKUP($A$2,'Circuit Data'!$A$2:$ED$15,126,)</f>
        <v>120</v>
      </c>
      <c r="J26" s="3">
        <f>VLOOKUP($A$2,'Circuit Data'!$A$2:$ED$15,125,)</f>
        <v>113</v>
      </c>
      <c r="K26" s="3">
        <f>VLOOKUP($A$2,'Circuit Data'!$A$2:$ED$15,124,)</f>
        <v>123</v>
      </c>
      <c r="L26" s="3">
        <f>VLOOKUP($A$2,'Circuit Data'!$A$2:$ED$15,123,)</f>
        <v>100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>
        <f>VLOOKUP($A$2,'Circuit Data'!$A$2:$ED$15,134,)</f>
        <v>2</v>
      </c>
      <c r="H27" s="3">
        <f>VLOOKUP($A$2,'Circuit Data'!$A$2:$ED$15,133,)</f>
        <v>1</v>
      </c>
      <c r="I27" s="3" t="str">
        <f>VLOOKUP($A$2,'Circuit Data'!$A$2:$ED$15,132,)</f>
        <v>-</v>
      </c>
      <c r="J27" s="3">
        <f>VLOOKUP($A$2,'Circuit Data'!$A$2:$ED$15,131,)</f>
        <v>17</v>
      </c>
      <c r="K27" s="3">
        <f>VLOOKUP($A$2,'Circuit Data'!$A$2:$ED$15,130,)</f>
        <v>21</v>
      </c>
      <c r="L27" s="3">
        <f>VLOOKUP($A$2,'Circuit Data'!$A$2:$ED$15,129,)</f>
        <v>59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NINTH CIRCUIT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28/9.3</v>
      </c>
      <c r="H34" s="3" t="str">
        <f>VLOOKUP($A$2,'Circuit Data2'!$A$2:$EP$15,12,)&amp;"/"&amp;TEXT(VLOOKUP($A$2,'Circuit Data2'!$A$2:$EP$15,13,),"0.0")</f>
        <v>28/9.3</v>
      </c>
      <c r="I34" s="3" t="str">
        <f>VLOOKUP($A$2,'Circuit Data2'!$A$2:$EP$15,10,)&amp;"/"&amp;TEXT(VLOOKUP($A$2,'Circuit Data2'!$A$2:$EP$15,11,),"0.0")</f>
        <v>29/9.7</v>
      </c>
      <c r="J34" s="3" t="str">
        <f>VLOOKUP($A$2,'Circuit Data2'!$A$2:$EP$15,8,)&amp;"/"&amp;TEXT(VLOOKUP($A$2,'Circuit Data2'!$A$2:$EP$15,9,),"0.0")</f>
        <v>29/9.7</v>
      </c>
      <c r="K34" s="3" t="str">
        <f>VLOOKUP($A$2,'Circuit Data2'!$A$2:$EP$15,6,)&amp;"/"&amp;TEXT(VLOOKUP($A$2,'Circuit Data2'!$A$2:$EP$15,7,),"0.0")</f>
        <v>29/9.7</v>
      </c>
      <c r="L34" s="3" t="str">
        <f>VLOOKUP($A$2,'Circuit Data2'!$A$2:$EP$15,4,)&amp;"/"&amp;TEXT(VLOOKUP($A$2,'Circuit Data2'!$A$2:$EP$15,5,),"0.0")</f>
        <v>29/9.7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22</v>
      </c>
      <c r="H35" s="3">
        <f>VLOOKUP($A$2,'Circuit Data2'!$A$2:$EP$15,20,)</f>
        <v>21</v>
      </c>
      <c r="I35" s="3">
        <f>VLOOKUP($A$2,'Circuit Data2'!$A$2:$EP$15,19,)</f>
        <v>18</v>
      </c>
      <c r="J35" s="3">
        <f>VLOOKUP($A$2,'Circuit Data2'!$A$2:$EP$15,18,)</f>
        <v>20</v>
      </c>
      <c r="K35" s="3">
        <f>VLOOKUP($A$2,'Circuit Data2'!$A$2:$EP$15,17,)</f>
        <v>20</v>
      </c>
      <c r="L35" s="3">
        <f>VLOOKUP($A$2,'Circuit Data2'!$A$2:$EP$15,16,)</f>
        <v>18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16.5</v>
      </c>
      <c r="H36" s="17">
        <f>VLOOKUP($A$2,'Circuit Data2'!$A$2:$EP$15,26,)</f>
        <v>12</v>
      </c>
      <c r="I36" s="17">
        <f>VLOOKUP($A$2,'Circuit Data2'!$A$2:$EP$15,25,)</f>
        <v>20.3</v>
      </c>
      <c r="J36" s="17">
        <f>VLOOKUP($A$2,'Circuit Data2'!$A$2:$EP$15,24,)</f>
        <v>35.200000000000003</v>
      </c>
      <c r="K36" s="17">
        <f>VLOOKUP($A$2,'Circuit Data2'!$A$2:$EP$15,23,)</f>
        <v>40.9</v>
      </c>
      <c r="L36" s="17">
        <f>VLOOKUP($A$2,'Circuit Data2'!$A$2:$EP$15,22,)</f>
        <v>38.700000000000003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1345</v>
      </c>
      <c r="H37" s="3">
        <f>VLOOKUP($A$2,'Circuit Data2'!$A$2:$EP$15,32,)</f>
        <v>1455</v>
      </c>
      <c r="I37" s="3">
        <f>VLOOKUP($A$2,'Circuit Data2'!$A$2:$EP$15,31,)</f>
        <v>1263</v>
      </c>
      <c r="J37" s="3">
        <f>VLOOKUP($A$2,'Circuit Data2'!$A$2:$EP$15,30,)</f>
        <v>1240</v>
      </c>
      <c r="K37" s="3">
        <f>VLOOKUP($A$2,'Circuit Data2'!$A$2:$EP$15,29,)</f>
        <v>1241</v>
      </c>
      <c r="L37" s="3">
        <f>VLOOKUP($A$2,'Circuit Data2'!$A$2:$EP$15,28,)</f>
        <v>1273</v>
      </c>
      <c r="M37" s="16">
        <f>VLOOKUP($A$2,'Circuit Data2'!$A$2:$EP$15,34,)</f>
        <v>4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285</v>
      </c>
      <c r="H38" s="3">
        <f>VLOOKUP($A$2,'Circuit Data2'!$A$2:$EP$15,39,)</f>
        <v>352</v>
      </c>
      <c r="I38" s="3">
        <f>VLOOKUP($A$2,'Circuit Data2'!$A$2:$EP$15,38,)</f>
        <v>334</v>
      </c>
      <c r="J38" s="3">
        <f>VLOOKUP($A$2,'Circuit Data2'!$A$2:$EP$15,37,)</f>
        <v>342</v>
      </c>
      <c r="K38" s="3">
        <f>VLOOKUP($A$2,'Circuit Data2'!$A$2:$EP$15,36,)</f>
        <v>349</v>
      </c>
      <c r="L38" s="3">
        <f>VLOOKUP($A$2,'Circuit Data2'!$A$2:$EP$15,35,)</f>
        <v>369</v>
      </c>
      <c r="M38" s="11">
        <f>VLOOKUP($A$2,'Circuit Data2'!$A$2:$EP$15,41,)</f>
        <v>3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393</v>
      </c>
      <c r="H39" s="3">
        <f>VLOOKUP($A$2,'Circuit Data2'!$A$2:$EP$15,46,)</f>
        <v>404</v>
      </c>
      <c r="I39" s="3">
        <f>VLOOKUP($A$2,'Circuit Data2'!$A$2:$EP$15,45,)</f>
        <v>389</v>
      </c>
      <c r="J39" s="3">
        <f>VLOOKUP($A$2,'Circuit Data2'!$A$2:$EP$15,44,)</f>
        <v>383</v>
      </c>
      <c r="K39" s="3">
        <f>VLOOKUP($A$2,'Circuit Data2'!$A$2:$EP$15,43,)</f>
        <v>381</v>
      </c>
      <c r="L39" s="3">
        <f>VLOOKUP($A$2,'Circuit Data2'!$A$2:$EP$15,42,)</f>
        <v>395</v>
      </c>
      <c r="M39" s="12">
        <f>VLOOKUP($A$2,'Circuit Data2'!$A$2:$EP$15,48,)</f>
        <v>3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186</v>
      </c>
      <c r="H40" s="3">
        <f>VLOOKUP($A$2,'Circuit Data2'!$A$2:$EP$15,53,)</f>
        <v>178</v>
      </c>
      <c r="I40" s="3">
        <f>VLOOKUP($A$2,'Circuit Data2'!$A$2:$EP$15,52,)</f>
        <v>174</v>
      </c>
      <c r="J40" s="3">
        <f>VLOOKUP($A$2,'Circuit Data2'!$A$2:$EP$15,51,)</f>
        <v>171</v>
      </c>
      <c r="K40" s="14">
        <f>VLOOKUP($A$2,'Circuit Data2'!$A$2:$EP$15,50,)</f>
        <v>171</v>
      </c>
      <c r="L40" s="3">
        <f>VLOOKUP($A$2,'Circuit Data2'!$A$2:$EP$15,49,)</f>
        <v>169</v>
      </c>
      <c r="M40" s="12">
        <f>VLOOKUP($A$2,'Circuit Data2'!$A$2:$EP$15,55,)</f>
        <v>9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481</v>
      </c>
      <c r="H41" s="3">
        <f>VLOOKUP($A$2,'Circuit Data2'!$A$2:$EP$15,60,)</f>
        <v>521</v>
      </c>
      <c r="I41" s="3">
        <f>VLOOKUP($A$2,'Circuit Data2'!$A$2:$EP$15,59,)</f>
        <v>366</v>
      </c>
      <c r="J41" s="3">
        <f>VLOOKUP($A$2,'Circuit Data2'!$A$2:$EP$15,58,)</f>
        <v>344</v>
      </c>
      <c r="K41" s="3">
        <f>VLOOKUP($A$2,'Circuit Data2'!$A$2:$EP$15,57,)</f>
        <v>340</v>
      </c>
      <c r="L41" s="3">
        <f>VLOOKUP($A$2,'Circuit Data2'!$A$2:$EP$15,56,)</f>
        <v>340</v>
      </c>
      <c r="M41" s="12">
        <f>VLOOKUP($A$2,'Circuit Data2'!$A$2:$EP$15,62,)</f>
        <v>2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1457</v>
      </c>
      <c r="H42" s="3">
        <f>VLOOKUP($A$2,'Circuit Data2'!$A$2:$EP$15,67,)</f>
        <v>1326</v>
      </c>
      <c r="I42" s="3">
        <f>VLOOKUP($A$2,'Circuit Data2'!$A$2:$EP$15,66,)</f>
        <v>1326</v>
      </c>
      <c r="J42" s="3">
        <f>VLOOKUP($A$2,'Circuit Data2'!$A$2:$EP$15,65,)</f>
        <v>1380</v>
      </c>
      <c r="K42" s="3">
        <f>VLOOKUP($A$2,'Circuit Data2'!$A$2:$EP$15,64,)</f>
        <v>1394</v>
      </c>
      <c r="L42" s="3">
        <f>VLOOKUP($A$2,'Circuit Data2'!$A$2:$EP$15,63,)</f>
        <v>1315</v>
      </c>
      <c r="M42" s="13">
        <f>VLOOKUP($A$2,'Circuit Data2'!$A$2:$EP$15,69,)</f>
        <v>3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48</v>
      </c>
      <c r="H43" s="15">
        <f>VLOOKUP($A$2,'Circuit Data2'!$A$2:$EP$15,74,)</f>
        <v>55</v>
      </c>
      <c r="I43" s="3">
        <f>VLOOKUP($A$2,'Circuit Data2'!$A$2:$EP$15,73,)</f>
        <v>50</v>
      </c>
      <c r="J43" s="3">
        <f>VLOOKUP($A$2,'Circuit Data2'!$A$2:$EP$15,72,)</f>
        <v>52</v>
      </c>
      <c r="K43" s="3">
        <f>VLOOKUP($A$2,'Circuit Data2'!$A$2:$EP$15,71,)</f>
        <v>57</v>
      </c>
      <c r="L43" s="3">
        <f>VLOOKUP($A$2,'Circuit Data2'!$A$2:$EP$15,70,)</f>
        <v>44</v>
      </c>
      <c r="M43" s="13">
        <f>VLOOKUP($A$2,'Circuit Data2'!$A$2:$EP$15,76,)</f>
        <v>4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712</v>
      </c>
      <c r="H44" s="3">
        <f>VLOOKUP($A$2,'Circuit Data2'!$A$2:$EP$15,81,)</f>
        <v>650</v>
      </c>
      <c r="I44" s="3">
        <f>VLOOKUP($A$2,'Circuit Data2'!$A$2:$EP$15,80,)</f>
        <v>706</v>
      </c>
      <c r="J44" s="3">
        <f>VLOOKUP($A$2,'Circuit Data2'!$A$2:$EP$15,79,)</f>
        <v>674</v>
      </c>
      <c r="K44" s="3">
        <f>VLOOKUP($A$2,'Circuit Data2'!$A$2:$EP$15,78,)</f>
        <v>657</v>
      </c>
      <c r="L44" s="3">
        <f>VLOOKUP($A$2,'Circuit Data2'!$A$2:$EP$15,77,)</f>
        <v>569</v>
      </c>
      <c r="M44" s="13">
        <f>VLOOKUP($A$2,'Circuit Data2'!$A$2:$EP$15,83,)</f>
        <v>3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697</v>
      </c>
      <c r="H45" s="3">
        <f>VLOOKUP($A$2,'Circuit Data2'!$A$2:$EP$15,88,)</f>
        <v>621</v>
      </c>
      <c r="I45" s="3">
        <f>VLOOKUP($A$2,'Circuit Data2'!$A$2:$EP$15,87,)</f>
        <v>570</v>
      </c>
      <c r="J45" s="3">
        <f>VLOOKUP($A$2,'Circuit Data2'!$A$2:$EP$15,86,)</f>
        <v>654</v>
      </c>
      <c r="K45" s="3">
        <f>VLOOKUP($A$2,'Circuit Data2'!$A$2:$EP$15,85,)</f>
        <v>680</v>
      </c>
      <c r="L45" s="3">
        <f>VLOOKUP($A$2,'Circuit Data2'!$A$2:$EP$15,84,)</f>
        <v>745</v>
      </c>
      <c r="M45" s="13">
        <f>VLOOKUP($A$2,'Circuit Data2'!$A$2:$EP$15,90,)</f>
        <v>2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73</v>
      </c>
      <c r="H46" s="3">
        <f>VLOOKUP($A$2,'Circuit Data2'!$A$2:$EP$15,95,)</f>
        <v>68</v>
      </c>
      <c r="I46" s="3">
        <f>VLOOKUP($A$2,'Circuit Data2'!$A$2:$EP$15,94,)</f>
        <v>73</v>
      </c>
      <c r="J46" s="3">
        <f>VLOOKUP($A$2,'Circuit Data2'!$A$2:$EP$15,93,)</f>
        <v>101</v>
      </c>
      <c r="K46" s="3">
        <f>VLOOKUP($A$2,'Circuit Data2'!$A$2:$EP$15,92,)</f>
        <v>115</v>
      </c>
      <c r="L46" s="3">
        <f>VLOOKUP($A$2,'Circuit Data2'!$A$2:$EP$15,91,)</f>
        <v>169</v>
      </c>
      <c r="M46" s="11">
        <f>VLOOKUP($A$2,'Circuit Data2'!$A$2:$EP$15,97,)</f>
        <v>1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228</v>
      </c>
      <c r="H47" s="3">
        <f>VLOOKUP($A$2,'Circuit Data2'!$A$2:$EP$15,102,)</f>
        <v>196</v>
      </c>
      <c r="I47" s="3">
        <f>VLOOKUP($A$2,'Circuit Data2'!$A$2:$EP$15,101,)</f>
        <v>167</v>
      </c>
      <c r="J47" s="3">
        <f>VLOOKUP($A$2,'Circuit Data2'!$A$2:$EP$15,100,)</f>
        <v>202</v>
      </c>
      <c r="K47" s="3">
        <f>VLOOKUP($A$2,'Circuit Data2'!$A$2:$EP$15,99,)</f>
        <v>216</v>
      </c>
      <c r="L47" s="15">
        <f>VLOOKUP($A$2,'Circuit Data2'!$A$2:$EP$15,98,)</f>
        <v>245</v>
      </c>
      <c r="M47" s="13">
        <f>VLOOKUP($A$2,'Circuit Data2'!$A$2:$EP$15,104,)</f>
        <v>3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146</v>
      </c>
      <c r="H48" s="3">
        <f>VLOOKUP($A$2,'Circuit Data2'!$A$2:$EP$15,109,)</f>
        <v>135</v>
      </c>
      <c r="I48" s="3">
        <f>VLOOKUP($A$2,'Circuit Data2'!$A$2:$EP$15,108,)</f>
        <v>115</v>
      </c>
      <c r="J48" s="3">
        <f>VLOOKUP($A$2,'Circuit Data2'!$A$2:$EP$15,107,)</f>
        <v>121</v>
      </c>
      <c r="K48" s="3">
        <f>VLOOKUP($A$2,'Circuit Data2'!$A$2:$EP$15,106,)</f>
        <v>116</v>
      </c>
      <c r="L48" s="3">
        <f>VLOOKUP($A$2,'Circuit Data2'!$A$2:$EP$15,105,)</f>
        <v>130</v>
      </c>
      <c r="M48" s="13">
        <f>VLOOKUP($A$2,'Circuit Data2'!$A$2:$EP$15,111,)</f>
        <v>9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250</v>
      </c>
      <c r="H49" s="3">
        <f>VLOOKUP($A$2,'Circuit Data2'!$A$2:$EP$15,116,)</f>
        <v>222</v>
      </c>
      <c r="I49" s="3">
        <f>VLOOKUP($A$2,'Circuit Data2'!$A$2:$EP$15,115,)</f>
        <v>215</v>
      </c>
      <c r="J49" s="3">
        <f>VLOOKUP($A$2,'Circuit Data2'!$A$2:$EP$15,114,)</f>
        <v>230</v>
      </c>
      <c r="K49" s="3">
        <f>VLOOKUP($A$2,'Circuit Data2'!$A$2:$EP$15,113,)</f>
        <v>233</v>
      </c>
      <c r="L49" s="3">
        <f>VLOOKUP($A$2,'Circuit Data2'!$A$2:$EP$15,112,)</f>
        <v>201</v>
      </c>
      <c r="M49" s="13">
        <f>VLOOKUP($A$2,'Circuit Data2'!$A$2:$EP$15,118,)</f>
        <v>1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1743</v>
      </c>
      <c r="H50" s="3">
        <f>VLOOKUP($A$2,'Circuit Data2'!$A$2:$EP$15,123,)</f>
        <v>1897</v>
      </c>
      <c r="I50" s="3">
        <f>VLOOKUP($A$2,'Circuit Data2'!$A$2:$EP$15,122,)</f>
        <v>1790</v>
      </c>
      <c r="J50" s="3">
        <f>VLOOKUP($A$2,'Circuit Data2'!$A$2:$EP$15,121,)</f>
        <v>1566</v>
      </c>
      <c r="K50" s="3">
        <f>VLOOKUP($A$2,'Circuit Data2'!$A$2:$EP$15,120,)</f>
        <v>1500</v>
      </c>
      <c r="L50" s="3">
        <f>VLOOKUP($A$2,'Circuit Data2'!$A$2:$EP$15,119,)</f>
        <v>1481</v>
      </c>
      <c r="M50" s="13">
        <f>VLOOKUP($A$2,'Circuit Data2'!$A$2:$EP$15,125,)</f>
        <v>1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17.399999999999999</v>
      </c>
      <c r="H51" s="10">
        <f>VLOOKUP($A$2,'Circuit Data2'!$A$2:$EP$15,130,)</f>
        <v>19.399999999999999</v>
      </c>
      <c r="I51" s="5">
        <f>VLOOKUP($A$2,'Circuit Data2'!$A$2:$EP$15,129,)</f>
        <v>17.899999999999999</v>
      </c>
      <c r="J51" s="5">
        <f>VLOOKUP($A$2,'Circuit Data2'!$A$2:$EP$15,128,)</f>
        <v>16.3</v>
      </c>
      <c r="K51" s="5">
        <f>VLOOKUP($A$2,'Circuit Data2'!$A$2:$EP$15,127,)</f>
        <v>16.3</v>
      </c>
      <c r="L51" s="5">
        <f>VLOOKUP($A$2,'Circuit Data2'!$A$2:$EP$15,126,)</f>
        <v>16.8</v>
      </c>
      <c r="M51" s="12">
        <f>VLOOKUP($A$2,'Circuit Data2'!$A$2:$EP$15,132,)</f>
        <v>12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3</v>
      </c>
      <c r="H52" s="3">
        <f>VLOOKUP($A$2,'Circuit Data2'!$A$2:$EP$15,137,)</f>
        <v>2</v>
      </c>
      <c r="I52" s="3">
        <f>VLOOKUP($A$2,'Circuit Data2'!$A$2:$EP$15,136,)</f>
        <v>2</v>
      </c>
      <c r="J52" s="3">
        <f>VLOOKUP($A$2,'Circuit Data2'!$A$2:$EP$15,135,)</f>
        <v>4</v>
      </c>
      <c r="K52" s="3">
        <f>VLOOKUP($A$2,'Circuit Data2'!$A$2:$EP$15,134,)</f>
        <v>4</v>
      </c>
      <c r="L52" s="3">
        <f>VLOOKUP($A$2,'Circuit Data2'!$A$2:$EP$15,133,)</f>
        <v>3</v>
      </c>
      <c r="M52" s="11">
        <f>VLOOKUP($A$2,'Circuit Data2'!$A$2:$EP$15,139,)</f>
        <v>2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56</v>
      </c>
      <c r="H53" s="3">
        <f>VLOOKUP($A$2,'Circuit Data2'!$A$2:$EP$15,144,)</f>
        <v>58</v>
      </c>
      <c r="I53" s="3">
        <f>VLOOKUP($A$2,'Circuit Data2'!$A$2:$EP$15,143,)</f>
        <v>49</v>
      </c>
      <c r="J53" s="3">
        <f>VLOOKUP($A$2,'Circuit Data2'!$A$2:$EP$15,142,)</f>
        <v>75</v>
      </c>
      <c r="K53" s="3">
        <f>VLOOKUP($A$2,'Circuit Data2'!$A$2:$EP$15,141,)</f>
        <v>79</v>
      </c>
      <c r="L53" s="3">
        <f>VLOOKUP($A$2,'Circuit Data2'!$A$2:$EP$15,140,)</f>
        <v>69</v>
      </c>
      <c r="M53" s="11">
        <f>VLOOKUP($A$2,'Circuit Data2'!$A$2:$EP$15,146,)</f>
        <v>3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240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2407</v>
      </c>
      <c r="H5" s="3">
        <f>VLOOKUP($A$2,'Circuit Data'!$A$2:$ED$15,7,)</f>
        <v>2226</v>
      </c>
      <c r="I5" s="3">
        <f>VLOOKUP($A$2,'Circuit Data'!$A$2:$ED$15,6,)</f>
        <v>2328</v>
      </c>
      <c r="J5" s="3">
        <f>VLOOKUP($A$2,'Circuit Data'!$A$2:$ED$15,5,)</f>
        <v>2270</v>
      </c>
      <c r="K5" s="3">
        <f>VLOOKUP($A$2,'Circuit Data'!$A$2:$ED$15,4,)</f>
        <v>2225</v>
      </c>
      <c r="L5" s="3">
        <f>VLOOKUP($A$2,'Circuit Data'!$A$2:$ED$15,3,)</f>
        <v>2294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635</v>
      </c>
      <c r="H6" s="3">
        <f>VLOOKUP($A$2,'Circuit Data'!$A$2:$ED$15,13,)</f>
        <v>624</v>
      </c>
      <c r="I6" s="3">
        <f>VLOOKUP($A$2,'Circuit Data'!$A$2:$ED$15,12,)</f>
        <v>714</v>
      </c>
      <c r="J6" s="3">
        <f>VLOOKUP($A$2,'Circuit Data'!$A$2:$ED$15,11,)</f>
        <v>744</v>
      </c>
      <c r="K6" s="3">
        <f>VLOOKUP($A$2,'Circuit Data'!$A$2:$ED$15,10,)</f>
        <v>711</v>
      </c>
      <c r="L6" s="3">
        <f>VLOOKUP($A$2,'Circuit Data'!$A$2:$ED$15,9,)</f>
        <v>677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1009</v>
      </c>
      <c r="H7" s="3">
        <f>VLOOKUP($A$2,'Circuit Data'!$A$2:$ED$15,19,)</f>
        <v>923</v>
      </c>
      <c r="I7" s="3">
        <f>VLOOKUP($A$2,'Circuit Data'!$A$2:$ED$15,18,)</f>
        <v>921</v>
      </c>
      <c r="J7" s="3">
        <f>VLOOKUP($A$2,'Circuit Data'!$A$2:$ED$15,17,)</f>
        <v>895</v>
      </c>
      <c r="K7" s="3">
        <f>VLOOKUP($A$2,'Circuit Data'!$A$2:$ED$15,16,)</f>
        <v>892</v>
      </c>
      <c r="L7" s="3">
        <f>VLOOKUP($A$2,'Circuit Data'!$A$2:$ED$15,15,)</f>
        <v>972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663</v>
      </c>
      <c r="H8" s="3">
        <f>VLOOKUP($A$2,'Circuit Data'!$A$2:$ED$15,25,)</f>
        <v>583</v>
      </c>
      <c r="I8" s="3">
        <f>VLOOKUP($A$2,'Circuit Data'!$A$2:$ED$15,24,)</f>
        <v>599</v>
      </c>
      <c r="J8" s="3">
        <f>VLOOKUP($A$2,'Circuit Data'!$A$2:$ED$15,23,)</f>
        <v>539</v>
      </c>
      <c r="K8" s="3">
        <f>VLOOKUP($A$2,'Circuit Data'!$A$2:$ED$15,22,)</f>
        <v>521</v>
      </c>
      <c r="L8" s="3">
        <f>VLOOKUP($A$2,'Circuit Data'!$A$2:$ED$15,21,)</f>
        <v>524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100</v>
      </c>
      <c r="H9" s="3">
        <f>VLOOKUP($A$2,'Circuit Data'!$A$2:$ED$15,31,)</f>
        <v>96</v>
      </c>
      <c r="I9" s="3">
        <f>VLOOKUP($A$2,'Circuit Data'!$A$2:$ED$15,30,)</f>
        <v>94</v>
      </c>
      <c r="J9" s="3">
        <f>VLOOKUP($A$2,'Circuit Data'!$A$2:$ED$15,29,)</f>
        <v>92</v>
      </c>
      <c r="K9" s="3">
        <f>VLOOKUP($A$2,'Circuit Data'!$A$2:$ED$15,28,)</f>
        <v>101</v>
      </c>
      <c r="L9" s="3">
        <f>VLOOKUP($A$2,'Circuit Data'!$A$2:$ED$15,27,)</f>
        <v>121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3.1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-4.7</v>
      </c>
      <c r="H11" s="5">
        <f>VLOOKUP($A$2,'Circuit Data'!$A$2:$ED$15,37,)</f>
        <v>3.1</v>
      </c>
      <c r="I11" s="5">
        <f>VLOOKUP($A$2,'Circuit Data'!$A$2:$ED$15,36,)</f>
        <v>-1.5</v>
      </c>
      <c r="J11" s="5">
        <f>VLOOKUP($A$2,'Circuit Data'!$A$2:$ED$15,35,)</f>
        <v>1.1000000000000001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2680</v>
      </c>
      <c r="H12" s="9">
        <f>VLOOKUP($A$2,'Circuit Data'!$A$2:$ED$15,43,)</f>
        <v>2385</v>
      </c>
      <c r="I12" s="3">
        <f>VLOOKUP($A$2,'Circuit Data'!$A$2:$ED$15,42,)</f>
        <v>2376</v>
      </c>
      <c r="J12" s="3">
        <f>VLOOKUP($A$2,'Circuit Data'!$A$2:$ED$15,41,)</f>
        <v>2448</v>
      </c>
      <c r="K12" s="3">
        <f>VLOOKUP($A$2,'Circuit Data'!$A$2:$ED$15,40,)</f>
        <v>2375</v>
      </c>
      <c r="L12" s="3">
        <f>VLOOKUP($A$2,'Circuit Data'!$A$2:$ED$15,39,)</f>
        <v>2250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45</v>
      </c>
      <c r="H13" s="3">
        <f>VLOOKUP($A$2,'Circuit Data'!$A$2:$ED$15,49,)</f>
        <v>42</v>
      </c>
      <c r="I13" s="3">
        <f>VLOOKUP($A$2,'Circuit Data'!$A$2:$ED$15,48,)</f>
        <v>47</v>
      </c>
      <c r="J13" s="3">
        <f>VLOOKUP($A$2,'Circuit Data'!$A$2:$ED$15,47,)</f>
        <v>67</v>
      </c>
      <c r="K13" s="3">
        <f>VLOOKUP($A$2,'Circuit Data'!$A$2:$ED$15,46,)</f>
        <v>75</v>
      </c>
      <c r="L13" s="3">
        <f>VLOOKUP($A$2,'Circuit Data'!$A$2:$ED$15,45,)</f>
        <v>58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1038</v>
      </c>
      <c r="H14" s="3">
        <f>VLOOKUP($A$2,'Circuit Data'!$A$2:$ED$15,55,)</f>
        <v>870</v>
      </c>
      <c r="I14" s="3">
        <f>VLOOKUP($A$2,'Circuit Data'!$A$2:$ED$15,54,)</f>
        <v>898</v>
      </c>
      <c r="J14" s="3">
        <f>VLOOKUP($A$2,'Circuit Data'!$A$2:$ED$15,53,)</f>
        <v>1028</v>
      </c>
      <c r="K14" s="3">
        <f>VLOOKUP($A$2,'Circuit Data'!$A$2:$ED$15,52,)</f>
        <v>1016</v>
      </c>
      <c r="L14" s="3">
        <f>VLOOKUP($A$2,'Circuit Data'!$A$2:$ED$15,51,)</f>
        <v>977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1597</v>
      </c>
      <c r="H15" s="3">
        <f>VLOOKUP($A$2,'Circuit Data'!$A$2:$ED$15,61,)</f>
        <v>1473</v>
      </c>
      <c r="I15" s="3">
        <f>VLOOKUP($A$2,'Circuit Data'!$A$2:$ED$15,60,)</f>
        <v>1431</v>
      </c>
      <c r="J15" s="3">
        <f>VLOOKUP($A$2,'Circuit Data'!$A$2:$ED$15,59,)</f>
        <v>1353</v>
      </c>
      <c r="K15" s="3">
        <f>VLOOKUP($A$2,'Circuit Data'!$A$2:$ED$15,58,)</f>
        <v>1284</v>
      </c>
      <c r="L15" s="3">
        <f>VLOOKUP($A$2,'Circuit Data'!$A$2:$ED$15,57,)</f>
        <v>1273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269</v>
      </c>
      <c r="H16" s="3">
        <f>VLOOKUP($A$2,'Circuit Data'!$A$2:$ED$15,67,)</f>
        <v>237</v>
      </c>
      <c r="I16" s="3">
        <f>VLOOKUP($A$2,'Circuit Data'!$A$2:$ED$15,66,)</f>
        <v>222</v>
      </c>
      <c r="J16" s="3">
        <f>VLOOKUP($A$2,'Circuit Data'!$A$2:$ED$15,65,)</f>
        <v>233</v>
      </c>
      <c r="K16" s="3">
        <f>VLOOKUP($A$2,'Circuit Data'!$A$2:$ED$15,64,)</f>
        <v>234</v>
      </c>
      <c r="L16" s="3">
        <f>VLOOKUP($A$2,'Circuit Data'!$A$2:$ED$15,63,)</f>
        <v>196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667</v>
      </c>
      <c r="H17" s="3">
        <f>VLOOKUP($A$2,'Circuit Data'!$A$2:$ED$15,73,)</f>
        <v>626</v>
      </c>
      <c r="I17" s="3">
        <f>VLOOKUP($A$2,'Circuit Data'!$A$2:$ED$15,72,)</f>
        <v>597</v>
      </c>
      <c r="J17" s="3">
        <f>VLOOKUP($A$2,'Circuit Data'!$A$2:$ED$15,71,)</f>
        <v>584</v>
      </c>
      <c r="K17" s="3">
        <f>VLOOKUP($A$2,'Circuit Data'!$A$2:$ED$15,70,)</f>
        <v>563</v>
      </c>
      <c r="L17" s="3">
        <f>VLOOKUP($A$2,'Circuit Data'!$A$2:$ED$15,69,)</f>
        <v>595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579</v>
      </c>
      <c r="H18" s="3">
        <f>VLOOKUP($A$2,'Circuit Data'!$A$2:$ED$15,79,)</f>
        <v>545</v>
      </c>
      <c r="I18" s="3">
        <f>VLOOKUP($A$2,'Circuit Data'!$A$2:$ED$15,78,)</f>
        <v>544</v>
      </c>
      <c r="J18" s="3">
        <f>VLOOKUP($A$2,'Circuit Data'!$A$2:$ED$15,77,)</f>
        <v>465</v>
      </c>
      <c r="K18" s="3">
        <f>VLOOKUP($A$2,'Circuit Data'!$A$2:$ED$15,76,)</f>
        <v>425</v>
      </c>
      <c r="L18" s="3">
        <f>VLOOKUP($A$2,'Circuit Data'!$A$2:$ED$15,75,)</f>
        <v>415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82</v>
      </c>
      <c r="H19" s="3">
        <f>VLOOKUP($A$2,'Circuit Data'!$A$2:$ED$15,85,)</f>
        <v>65</v>
      </c>
      <c r="I19" s="3">
        <f>VLOOKUP($A$2,'Circuit Data'!$A$2:$ED$15,84,)</f>
        <v>68</v>
      </c>
      <c r="J19" s="3">
        <f>VLOOKUP($A$2,'Circuit Data'!$A$2:$ED$15,83,)</f>
        <v>71</v>
      </c>
      <c r="K19" s="3">
        <f>VLOOKUP($A$2,'Circuit Data'!$A$2:$ED$15,82,)</f>
        <v>62</v>
      </c>
      <c r="L19" s="3">
        <f>VLOOKUP($A$2,'Circuit Data'!$A$2:$ED$15,81,)</f>
        <v>67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69.599999999999994</v>
      </c>
      <c r="H20" s="5">
        <f>VLOOKUP($A$2,'Circuit Data'!$A$2:$ED$15,91,)</f>
        <v>72.2</v>
      </c>
      <c r="I20" s="5">
        <f>VLOOKUP($A$2,'Circuit Data'!$A$2:$ED$15,90,)</f>
        <v>71.599999999999994</v>
      </c>
      <c r="J20" s="5">
        <f>VLOOKUP($A$2,'Circuit Data'!$A$2:$ED$15,89,)</f>
        <v>69.400000000000006</v>
      </c>
      <c r="K20" s="5">
        <f>VLOOKUP($A$2,'Circuit Data'!$A$2:$ED$15,88,)</f>
        <v>70.5</v>
      </c>
      <c r="L20" s="5">
        <f>VLOOKUP($A$2,'Circuit Data'!$A$2:$ED$15,87,)</f>
        <v>66.5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1839</v>
      </c>
      <c r="H21" s="3">
        <f>VLOOKUP($A$2,'Circuit Data'!$A$2:$ED$15,97,)</f>
        <v>1698</v>
      </c>
      <c r="I21" s="3">
        <f>VLOOKUP($A$2,'Circuit Data'!$A$2:$ED$15,96,)</f>
        <v>1652</v>
      </c>
      <c r="J21" s="3">
        <f>VLOOKUP($A$2,'Circuit Data'!$A$2:$ED$15,95,)</f>
        <v>1475</v>
      </c>
      <c r="K21" s="3">
        <f>VLOOKUP($A$2,'Circuit Data'!$A$2:$ED$15,94,)</f>
        <v>1341</v>
      </c>
      <c r="L21" s="3">
        <f>VLOOKUP($A$2,'Circuit Data'!$A$2:$ED$15,93,)</f>
        <v>1372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277</v>
      </c>
      <c r="H22" s="3">
        <f>VLOOKUP($A$2,'Circuit Data'!$A$2:$ED$15,103,)</f>
        <v>266</v>
      </c>
      <c r="I22" s="3">
        <f>VLOOKUP($A$2,'Circuit Data'!$A$2:$ED$15,102,)</f>
        <v>252</v>
      </c>
      <c r="J22" s="3">
        <f>VLOOKUP($A$2,'Circuit Data'!$A$2:$ED$15,101,)</f>
        <v>248</v>
      </c>
      <c r="K22" s="3">
        <f>VLOOKUP($A$2,'Circuit Data'!$A$2:$ED$15,100,)</f>
        <v>242</v>
      </c>
      <c r="L22" s="3">
        <f>VLOOKUP($A$2,'Circuit Data'!$A$2:$ED$15,99,)</f>
        <v>263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103</v>
      </c>
      <c r="H23" s="3">
        <f>VLOOKUP($A$2,'Circuit Data'!$A$2:$ED$15,109,)</f>
        <v>88</v>
      </c>
      <c r="I23" s="3">
        <f>VLOOKUP($A$2,'Circuit Data'!$A$2:$ED$15,108,)</f>
        <v>97</v>
      </c>
      <c r="J23" s="3">
        <f>VLOOKUP($A$2,'Circuit Data'!$A$2:$ED$15,107,)</f>
        <v>101</v>
      </c>
      <c r="K23" s="3">
        <f>VLOOKUP($A$2,'Circuit Data'!$A$2:$ED$15,106,)</f>
        <v>102</v>
      </c>
      <c r="L23" s="3">
        <f>VLOOKUP($A$2,'Circuit Data'!$A$2:$ED$15,105,)</f>
        <v>123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94</v>
      </c>
      <c r="H24" s="3">
        <f>VLOOKUP($A$2,'Circuit Data'!$A$2:$ED$15,115,)</f>
        <v>89</v>
      </c>
      <c r="I24" s="3">
        <f>VLOOKUP($A$2,'Circuit Data'!$A$2:$ED$15,114,)</f>
        <v>85</v>
      </c>
      <c r="J24" s="3">
        <f>VLOOKUP($A$2,'Circuit Data'!$A$2:$ED$15,113,)</f>
        <v>83</v>
      </c>
      <c r="K24" s="3">
        <f>VLOOKUP($A$2,'Circuit Data'!$A$2:$ED$15,112,)</f>
        <v>82</v>
      </c>
      <c r="L24" s="3">
        <f>VLOOKUP($A$2,'Circuit Data'!$A$2:$ED$15,111,)</f>
        <v>85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84</v>
      </c>
      <c r="H25" s="3">
        <f>VLOOKUP($A$2,'Circuit Data'!$A$2:$ED$15,121,)</f>
        <v>76</v>
      </c>
      <c r="I25" s="3">
        <f>VLOOKUP($A$2,'Circuit Data'!$A$2:$ED$15,120,)</f>
        <v>75</v>
      </c>
      <c r="J25" s="3">
        <f>VLOOKUP($A$2,'Circuit Data'!$A$2:$ED$15,119,)</f>
        <v>74</v>
      </c>
      <c r="K25" s="3">
        <f>VLOOKUP($A$2,'Circuit Data'!$A$2:$ED$15,118,)</f>
        <v>73</v>
      </c>
      <c r="L25" s="3">
        <f>VLOOKUP($A$2,'Circuit Data'!$A$2:$ED$15,117,)</f>
        <v>73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10</v>
      </c>
      <c r="H26" s="3">
        <f>VLOOKUP($A$2,'Circuit Data'!$A$2:$ED$15,127,)</f>
        <v>13</v>
      </c>
      <c r="I26" s="3">
        <f>VLOOKUP($A$2,'Circuit Data'!$A$2:$ED$15,126,)</f>
        <v>10</v>
      </c>
      <c r="J26" s="3">
        <f>VLOOKUP($A$2,'Circuit Data'!$A$2:$ED$15,125,)</f>
        <v>9</v>
      </c>
      <c r="K26" s="3">
        <f>VLOOKUP($A$2,'Circuit Data'!$A$2:$ED$15,124,)</f>
        <v>9</v>
      </c>
      <c r="L26" s="3">
        <f>VLOOKUP($A$2,'Circuit Data'!$A$2:$ED$15,123,)</f>
        <v>12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 t="str">
        <f>VLOOKUP($A$2,'Circuit Data'!$A$2:$ED$15,134,)</f>
        <v>-</v>
      </c>
      <c r="H27" s="3" t="str">
        <f>VLOOKUP($A$2,'Circuit Data'!$A$2:$ED$15,133,)</f>
        <v>-</v>
      </c>
      <c r="I27" s="3" t="str">
        <f>VLOOKUP($A$2,'Circuit Data'!$A$2:$ED$15,132,)</f>
        <v>-</v>
      </c>
      <c r="J27" s="3" t="str">
        <f>VLOOKUP($A$2,'Circuit Data'!$A$2:$ED$15,131,)</f>
        <v>-</v>
      </c>
      <c r="K27" s="3" t="str">
        <f>VLOOKUP($A$2,'Circuit Data'!$A$2:$ED$15,130,)</f>
        <v>-</v>
      </c>
      <c r="L27" s="3" t="str">
        <f>VLOOKUP($A$2,'Circuit Data'!$A$2:$ED$15,129,)</f>
        <v>-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TENTH CIRCUIT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12/4.0</v>
      </c>
      <c r="H34" s="3" t="str">
        <f>VLOOKUP($A$2,'Circuit Data2'!$A$2:$EP$15,12,)&amp;"/"&amp;TEXT(VLOOKUP($A$2,'Circuit Data2'!$A$2:$EP$15,13,),"0.0")</f>
        <v>12/4.0</v>
      </c>
      <c r="I34" s="3" t="str">
        <f>VLOOKUP($A$2,'Circuit Data2'!$A$2:$EP$15,10,)&amp;"/"&amp;TEXT(VLOOKUP($A$2,'Circuit Data2'!$A$2:$EP$15,11,),"0.0")</f>
        <v>12/4.0</v>
      </c>
      <c r="J34" s="3" t="str">
        <f>VLOOKUP($A$2,'Circuit Data2'!$A$2:$EP$15,8,)&amp;"/"&amp;TEXT(VLOOKUP($A$2,'Circuit Data2'!$A$2:$EP$15,9,),"0.0")</f>
        <v>12/4.0</v>
      </c>
      <c r="K34" s="3" t="str">
        <f>VLOOKUP($A$2,'Circuit Data2'!$A$2:$EP$15,6,)&amp;"/"&amp;TEXT(VLOOKUP($A$2,'Circuit Data2'!$A$2:$EP$15,7,),"0.0")</f>
        <v>12/4.0</v>
      </c>
      <c r="L34" s="3" t="str">
        <f>VLOOKUP($A$2,'Circuit Data2'!$A$2:$EP$15,4,)&amp;"/"&amp;TEXT(VLOOKUP($A$2,'Circuit Data2'!$A$2:$EP$15,5,),"0.0")</f>
        <v>12/4.0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10</v>
      </c>
      <c r="H35" s="3">
        <f>VLOOKUP($A$2,'Circuit Data2'!$A$2:$EP$15,20,)</f>
        <v>10</v>
      </c>
      <c r="I35" s="3">
        <f>VLOOKUP($A$2,'Circuit Data2'!$A$2:$EP$15,19,)</f>
        <v>10</v>
      </c>
      <c r="J35" s="3">
        <f>VLOOKUP($A$2,'Circuit Data2'!$A$2:$EP$15,18,)</f>
        <v>9</v>
      </c>
      <c r="K35" s="3">
        <f>VLOOKUP($A$2,'Circuit Data2'!$A$2:$EP$15,17,)</f>
        <v>9</v>
      </c>
      <c r="L35" s="3">
        <f>VLOOKUP($A$2,'Circuit Data2'!$A$2:$EP$15,16,)</f>
        <v>9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0</v>
      </c>
      <c r="H36" s="17">
        <f>VLOOKUP($A$2,'Circuit Data2'!$A$2:$EP$15,26,)</f>
        <v>0</v>
      </c>
      <c r="I36" s="17">
        <f>VLOOKUP($A$2,'Circuit Data2'!$A$2:$EP$15,25,)</f>
        <v>1</v>
      </c>
      <c r="J36" s="17">
        <f>VLOOKUP($A$2,'Circuit Data2'!$A$2:$EP$15,24,)</f>
        <v>15</v>
      </c>
      <c r="K36" s="17">
        <f>VLOOKUP($A$2,'Circuit Data2'!$A$2:$EP$15,23,)</f>
        <v>17.7</v>
      </c>
      <c r="L36" s="17">
        <f>VLOOKUP($A$2,'Circuit Data2'!$A$2:$EP$15,22,)</f>
        <v>17.600000000000001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602</v>
      </c>
      <c r="H37" s="3">
        <f>VLOOKUP($A$2,'Circuit Data2'!$A$2:$EP$15,32,)</f>
        <v>557</v>
      </c>
      <c r="I37" s="3">
        <f>VLOOKUP($A$2,'Circuit Data2'!$A$2:$EP$15,31,)</f>
        <v>582</v>
      </c>
      <c r="J37" s="3">
        <f>VLOOKUP($A$2,'Circuit Data2'!$A$2:$EP$15,30,)</f>
        <v>568</v>
      </c>
      <c r="K37" s="3">
        <f>VLOOKUP($A$2,'Circuit Data2'!$A$2:$EP$15,29,)</f>
        <v>556</v>
      </c>
      <c r="L37" s="3">
        <f>VLOOKUP($A$2,'Circuit Data2'!$A$2:$EP$15,28,)</f>
        <v>574</v>
      </c>
      <c r="M37" s="16">
        <f>VLOOKUP($A$2,'Circuit Data2'!$A$2:$EP$15,34,)</f>
        <v>11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159</v>
      </c>
      <c r="H38" s="3">
        <f>VLOOKUP($A$2,'Circuit Data2'!$A$2:$EP$15,39,)</f>
        <v>156</v>
      </c>
      <c r="I38" s="3">
        <f>VLOOKUP($A$2,'Circuit Data2'!$A$2:$EP$15,38,)</f>
        <v>179</v>
      </c>
      <c r="J38" s="3">
        <f>VLOOKUP($A$2,'Circuit Data2'!$A$2:$EP$15,37,)</f>
        <v>186</v>
      </c>
      <c r="K38" s="3">
        <f>VLOOKUP($A$2,'Circuit Data2'!$A$2:$EP$15,36,)</f>
        <v>178</v>
      </c>
      <c r="L38" s="3">
        <f>VLOOKUP($A$2,'Circuit Data2'!$A$2:$EP$15,35,)</f>
        <v>169</v>
      </c>
      <c r="M38" s="11">
        <f>VLOOKUP($A$2,'Circuit Data2'!$A$2:$EP$15,41,)</f>
        <v>10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252</v>
      </c>
      <c r="H39" s="3">
        <f>VLOOKUP($A$2,'Circuit Data2'!$A$2:$EP$15,46,)</f>
        <v>231</v>
      </c>
      <c r="I39" s="3">
        <f>VLOOKUP($A$2,'Circuit Data2'!$A$2:$EP$15,45,)</f>
        <v>229</v>
      </c>
      <c r="J39" s="3">
        <f>VLOOKUP($A$2,'Circuit Data2'!$A$2:$EP$15,44,)</f>
        <v>224</v>
      </c>
      <c r="K39" s="3">
        <f>VLOOKUP($A$2,'Circuit Data2'!$A$2:$EP$15,43,)</f>
        <v>223</v>
      </c>
      <c r="L39" s="3">
        <f>VLOOKUP($A$2,'Circuit Data2'!$A$2:$EP$15,42,)</f>
        <v>244</v>
      </c>
      <c r="M39" s="12">
        <f>VLOOKUP($A$2,'Circuit Data2'!$A$2:$EP$15,48,)</f>
        <v>11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166</v>
      </c>
      <c r="H40" s="3">
        <f>VLOOKUP($A$2,'Circuit Data2'!$A$2:$EP$15,53,)</f>
        <v>146</v>
      </c>
      <c r="I40" s="3">
        <f>VLOOKUP($A$2,'Circuit Data2'!$A$2:$EP$15,52,)</f>
        <v>150</v>
      </c>
      <c r="J40" s="3">
        <f>VLOOKUP($A$2,'Circuit Data2'!$A$2:$EP$15,51,)</f>
        <v>135</v>
      </c>
      <c r="K40" s="14">
        <f>VLOOKUP($A$2,'Circuit Data2'!$A$2:$EP$15,50,)</f>
        <v>130</v>
      </c>
      <c r="L40" s="3">
        <f>VLOOKUP($A$2,'Circuit Data2'!$A$2:$EP$15,49,)</f>
        <v>131</v>
      </c>
      <c r="M40" s="12">
        <f>VLOOKUP($A$2,'Circuit Data2'!$A$2:$EP$15,55,)</f>
        <v>11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25</v>
      </c>
      <c r="H41" s="3">
        <f>VLOOKUP($A$2,'Circuit Data2'!$A$2:$EP$15,60,)</f>
        <v>24</v>
      </c>
      <c r="I41" s="3">
        <f>VLOOKUP($A$2,'Circuit Data2'!$A$2:$EP$15,59,)</f>
        <v>24</v>
      </c>
      <c r="J41" s="3">
        <f>VLOOKUP($A$2,'Circuit Data2'!$A$2:$EP$15,58,)</f>
        <v>23</v>
      </c>
      <c r="K41" s="3">
        <f>VLOOKUP($A$2,'Circuit Data2'!$A$2:$EP$15,57,)</f>
        <v>25</v>
      </c>
      <c r="L41" s="3">
        <f>VLOOKUP($A$2,'Circuit Data2'!$A$2:$EP$15,56,)</f>
        <v>30</v>
      </c>
      <c r="M41" s="12">
        <f>VLOOKUP($A$2,'Circuit Data2'!$A$2:$EP$15,62,)</f>
        <v>12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670</v>
      </c>
      <c r="H42" s="3">
        <f>VLOOKUP($A$2,'Circuit Data2'!$A$2:$EP$15,67,)</f>
        <v>596</v>
      </c>
      <c r="I42" s="3">
        <f>VLOOKUP($A$2,'Circuit Data2'!$A$2:$EP$15,66,)</f>
        <v>594</v>
      </c>
      <c r="J42" s="3">
        <f>VLOOKUP($A$2,'Circuit Data2'!$A$2:$EP$15,65,)</f>
        <v>612</v>
      </c>
      <c r="K42" s="3">
        <f>VLOOKUP($A$2,'Circuit Data2'!$A$2:$EP$15,64,)</f>
        <v>594</v>
      </c>
      <c r="L42" s="3">
        <f>VLOOKUP($A$2,'Circuit Data2'!$A$2:$EP$15,63,)</f>
        <v>563</v>
      </c>
      <c r="M42" s="13">
        <f>VLOOKUP($A$2,'Circuit Data2'!$A$2:$EP$15,69,)</f>
        <v>11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11</v>
      </c>
      <c r="H43" s="15">
        <f>VLOOKUP($A$2,'Circuit Data2'!$A$2:$EP$15,74,)</f>
        <v>10</v>
      </c>
      <c r="I43" s="3">
        <f>VLOOKUP($A$2,'Circuit Data2'!$A$2:$EP$15,73,)</f>
        <v>11</v>
      </c>
      <c r="J43" s="3">
        <f>VLOOKUP($A$2,'Circuit Data2'!$A$2:$EP$15,72,)</f>
        <v>17</v>
      </c>
      <c r="K43" s="3">
        <f>VLOOKUP($A$2,'Circuit Data2'!$A$2:$EP$15,71,)</f>
        <v>19</v>
      </c>
      <c r="L43" s="3">
        <f>VLOOKUP($A$2,'Circuit Data2'!$A$2:$EP$15,70,)</f>
        <v>15</v>
      </c>
      <c r="M43" s="13">
        <f>VLOOKUP($A$2,'Circuit Data2'!$A$2:$EP$15,76,)</f>
        <v>11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260</v>
      </c>
      <c r="H44" s="3">
        <f>VLOOKUP($A$2,'Circuit Data2'!$A$2:$EP$15,81,)</f>
        <v>218</v>
      </c>
      <c r="I44" s="3">
        <f>VLOOKUP($A$2,'Circuit Data2'!$A$2:$EP$15,80,)</f>
        <v>225</v>
      </c>
      <c r="J44" s="3">
        <f>VLOOKUP($A$2,'Circuit Data2'!$A$2:$EP$15,79,)</f>
        <v>257</v>
      </c>
      <c r="K44" s="3">
        <f>VLOOKUP($A$2,'Circuit Data2'!$A$2:$EP$15,78,)</f>
        <v>254</v>
      </c>
      <c r="L44" s="3">
        <f>VLOOKUP($A$2,'Circuit Data2'!$A$2:$EP$15,77,)</f>
        <v>244</v>
      </c>
      <c r="M44" s="13">
        <f>VLOOKUP($A$2,'Circuit Data2'!$A$2:$EP$15,83,)</f>
        <v>11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399</v>
      </c>
      <c r="H45" s="3">
        <f>VLOOKUP($A$2,'Circuit Data2'!$A$2:$EP$15,88,)</f>
        <v>368</v>
      </c>
      <c r="I45" s="3">
        <f>VLOOKUP($A$2,'Circuit Data2'!$A$2:$EP$15,87,)</f>
        <v>358</v>
      </c>
      <c r="J45" s="3">
        <f>VLOOKUP($A$2,'Circuit Data2'!$A$2:$EP$15,86,)</f>
        <v>338</v>
      </c>
      <c r="K45" s="3">
        <f>VLOOKUP($A$2,'Circuit Data2'!$A$2:$EP$15,85,)</f>
        <v>321</v>
      </c>
      <c r="L45" s="3">
        <f>VLOOKUP($A$2,'Circuit Data2'!$A$2:$EP$15,84,)</f>
        <v>318</v>
      </c>
      <c r="M45" s="13">
        <f>VLOOKUP($A$2,'Circuit Data2'!$A$2:$EP$15,90,)</f>
        <v>11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67</v>
      </c>
      <c r="H46" s="3">
        <f>VLOOKUP($A$2,'Circuit Data2'!$A$2:$EP$15,95,)</f>
        <v>59</v>
      </c>
      <c r="I46" s="3">
        <f>VLOOKUP($A$2,'Circuit Data2'!$A$2:$EP$15,94,)</f>
        <v>56</v>
      </c>
      <c r="J46" s="3">
        <f>VLOOKUP($A$2,'Circuit Data2'!$A$2:$EP$15,93,)</f>
        <v>58</v>
      </c>
      <c r="K46" s="3">
        <f>VLOOKUP($A$2,'Circuit Data2'!$A$2:$EP$15,92,)</f>
        <v>59</v>
      </c>
      <c r="L46" s="3">
        <f>VLOOKUP($A$2,'Circuit Data2'!$A$2:$EP$15,91,)</f>
        <v>49</v>
      </c>
      <c r="M46" s="11">
        <f>VLOOKUP($A$2,'Circuit Data2'!$A$2:$EP$15,97,)</f>
        <v>11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166</v>
      </c>
      <c r="H47" s="3">
        <f>VLOOKUP($A$2,'Circuit Data2'!$A$2:$EP$15,102,)</f>
        <v>157</v>
      </c>
      <c r="I47" s="3">
        <f>VLOOKUP($A$2,'Circuit Data2'!$A$2:$EP$15,101,)</f>
        <v>149</v>
      </c>
      <c r="J47" s="3">
        <f>VLOOKUP($A$2,'Circuit Data2'!$A$2:$EP$15,100,)</f>
        <v>146</v>
      </c>
      <c r="K47" s="3">
        <f>VLOOKUP($A$2,'Circuit Data2'!$A$2:$EP$15,99,)</f>
        <v>140</v>
      </c>
      <c r="L47" s="15">
        <f>VLOOKUP($A$2,'Circuit Data2'!$A$2:$EP$15,98,)</f>
        <v>148</v>
      </c>
      <c r="M47" s="13">
        <f>VLOOKUP($A$2,'Circuit Data2'!$A$2:$EP$15,104,)</f>
        <v>11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145</v>
      </c>
      <c r="H48" s="3">
        <f>VLOOKUP($A$2,'Circuit Data2'!$A$2:$EP$15,109,)</f>
        <v>136</v>
      </c>
      <c r="I48" s="3">
        <f>VLOOKUP($A$2,'Circuit Data2'!$A$2:$EP$15,108,)</f>
        <v>136</v>
      </c>
      <c r="J48" s="3">
        <f>VLOOKUP($A$2,'Circuit Data2'!$A$2:$EP$15,107,)</f>
        <v>116</v>
      </c>
      <c r="K48" s="3">
        <f>VLOOKUP($A$2,'Circuit Data2'!$A$2:$EP$15,106,)</f>
        <v>106</v>
      </c>
      <c r="L48" s="3">
        <f>VLOOKUP($A$2,'Circuit Data2'!$A$2:$EP$15,105,)</f>
        <v>104</v>
      </c>
      <c r="M48" s="13">
        <f>VLOOKUP($A$2,'Circuit Data2'!$A$2:$EP$15,111,)</f>
        <v>11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21</v>
      </c>
      <c r="H49" s="3">
        <f>VLOOKUP($A$2,'Circuit Data2'!$A$2:$EP$15,116,)</f>
        <v>16</v>
      </c>
      <c r="I49" s="3">
        <f>VLOOKUP($A$2,'Circuit Data2'!$A$2:$EP$15,115,)</f>
        <v>17</v>
      </c>
      <c r="J49" s="3">
        <f>VLOOKUP($A$2,'Circuit Data2'!$A$2:$EP$15,114,)</f>
        <v>18</v>
      </c>
      <c r="K49" s="3">
        <f>VLOOKUP($A$2,'Circuit Data2'!$A$2:$EP$15,113,)</f>
        <v>16</v>
      </c>
      <c r="L49" s="3">
        <f>VLOOKUP($A$2,'Circuit Data2'!$A$2:$EP$15,112,)</f>
        <v>17</v>
      </c>
      <c r="M49" s="13">
        <f>VLOOKUP($A$2,'Circuit Data2'!$A$2:$EP$15,118,)</f>
        <v>12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460</v>
      </c>
      <c r="H50" s="3">
        <f>VLOOKUP($A$2,'Circuit Data2'!$A$2:$EP$15,123,)</f>
        <v>425</v>
      </c>
      <c r="I50" s="3">
        <f>VLOOKUP($A$2,'Circuit Data2'!$A$2:$EP$15,122,)</f>
        <v>413</v>
      </c>
      <c r="J50" s="3">
        <f>VLOOKUP($A$2,'Circuit Data2'!$A$2:$EP$15,121,)</f>
        <v>369</v>
      </c>
      <c r="K50" s="3">
        <f>VLOOKUP($A$2,'Circuit Data2'!$A$2:$EP$15,120,)</f>
        <v>335</v>
      </c>
      <c r="L50" s="3">
        <f>VLOOKUP($A$2,'Circuit Data2'!$A$2:$EP$15,119,)</f>
        <v>343</v>
      </c>
      <c r="M50" s="13">
        <f>VLOOKUP($A$2,'Circuit Data2'!$A$2:$EP$15,125,)</f>
        <v>12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11.6</v>
      </c>
      <c r="H51" s="10">
        <f>VLOOKUP($A$2,'Circuit Data2'!$A$2:$EP$15,130,)</f>
        <v>10.9</v>
      </c>
      <c r="I51" s="5">
        <f>VLOOKUP($A$2,'Circuit Data2'!$A$2:$EP$15,129,)</f>
        <v>10.3</v>
      </c>
      <c r="J51" s="5">
        <f>VLOOKUP($A$2,'Circuit Data2'!$A$2:$EP$15,128,)</f>
        <v>9.3000000000000007</v>
      </c>
      <c r="K51" s="5">
        <f>VLOOKUP($A$2,'Circuit Data2'!$A$2:$EP$15,127,)</f>
        <v>9.3000000000000007</v>
      </c>
      <c r="L51" s="5">
        <f>VLOOKUP($A$2,'Circuit Data2'!$A$2:$EP$15,126,)</f>
        <v>9</v>
      </c>
      <c r="M51" s="12">
        <f>VLOOKUP($A$2,'Circuit Data2'!$A$2:$EP$15,132,)</f>
        <v>4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2</v>
      </c>
      <c r="H52" s="3">
        <f>VLOOKUP($A$2,'Circuit Data2'!$A$2:$EP$15,137,)</f>
        <v>1</v>
      </c>
      <c r="I52" s="3">
        <f>VLOOKUP($A$2,'Circuit Data2'!$A$2:$EP$15,136,)</f>
        <v>1</v>
      </c>
      <c r="J52" s="3">
        <f>VLOOKUP($A$2,'Circuit Data2'!$A$2:$EP$15,135,)</f>
        <v>1</v>
      </c>
      <c r="K52" s="3">
        <f>VLOOKUP($A$2,'Circuit Data2'!$A$2:$EP$15,134,)</f>
        <v>1</v>
      </c>
      <c r="L52" s="3">
        <f>VLOOKUP($A$2,'Circuit Data2'!$A$2:$EP$15,133,)</f>
        <v>1</v>
      </c>
      <c r="M52" s="11">
        <f>VLOOKUP($A$2,'Circuit Data2'!$A$2:$EP$15,139,)</f>
        <v>8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32</v>
      </c>
      <c r="H53" s="3">
        <f>VLOOKUP($A$2,'Circuit Data2'!$A$2:$EP$15,144,)</f>
        <v>31</v>
      </c>
      <c r="I53" s="3">
        <f>VLOOKUP($A$2,'Circuit Data2'!$A$2:$EP$15,143,)</f>
        <v>32</v>
      </c>
      <c r="J53" s="3">
        <f>VLOOKUP($A$2,'Circuit Data2'!$A$2:$EP$15,142,)</f>
        <v>29</v>
      </c>
      <c r="K53" s="3">
        <f>VLOOKUP($A$2,'Circuit Data2'!$A$2:$EP$15,141,)</f>
        <v>28</v>
      </c>
      <c r="L53" s="3">
        <f>VLOOKUP($A$2,'Circuit Data2'!$A$2:$EP$15,140,)</f>
        <v>33</v>
      </c>
      <c r="M53" s="11">
        <f>VLOOKUP($A$2,'Circuit Data2'!$A$2:$EP$15,146,)</f>
        <v>8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241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6361</v>
      </c>
      <c r="H5" s="3">
        <f>VLOOKUP($A$2,'Circuit Data'!$A$2:$ED$15,7,)</f>
        <v>7371</v>
      </c>
      <c r="I5" s="3">
        <f>VLOOKUP($A$2,'Circuit Data'!$A$2:$ED$15,6,)</f>
        <v>6995</v>
      </c>
      <c r="J5" s="3">
        <f>VLOOKUP($A$2,'Circuit Data'!$A$2:$ED$15,5,)</f>
        <v>6438</v>
      </c>
      <c r="K5" s="3">
        <f>VLOOKUP($A$2,'Circuit Data'!$A$2:$ED$15,4,)</f>
        <v>6296</v>
      </c>
      <c r="L5" s="3">
        <f>VLOOKUP($A$2,'Circuit Data'!$A$2:$ED$15,3,)</f>
        <v>6449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2002</v>
      </c>
      <c r="H6" s="3">
        <f>VLOOKUP($A$2,'Circuit Data'!$A$2:$ED$15,13,)</f>
        <v>2227</v>
      </c>
      <c r="I6" s="3">
        <f>VLOOKUP($A$2,'Circuit Data'!$A$2:$ED$15,12,)</f>
        <v>1956</v>
      </c>
      <c r="J6" s="3">
        <f>VLOOKUP($A$2,'Circuit Data'!$A$2:$ED$15,11,)</f>
        <v>1859</v>
      </c>
      <c r="K6" s="3">
        <f>VLOOKUP($A$2,'Circuit Data'!$A$2:$ED$15,10,)</f>
        <v>1847</v>
      </c>
      <c r="L6" s="3">
        <f>VLOOKUP($A$2,'Circuit Data'!$A$2:$ED$15,9,)</f>
        <v>1883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2205</v>
      </c>
      <c r="H7" s="3">
        <f>VLOOKUP($A$2,'Circuit Data'!$A$2:$ED$15,19,)</f>
        <v>2258</v>
      </c>
      <c r="I7" s="3">
        <f>VLOOKUP($A$2,'Circuit Data'!$A$2:$ED$15,18,)</f>
        <v>2256</v>
      </c>
      <c r="J7" s="3">
        <f>VLOOKUP($A$2,'Circuit Data'!$A$2:$ED$15,17,)</f>
        <v>2437</v>
      </c>
      <c r="K7" s="3">
        <f>VLOOKUP($A$2,'Circuit Data'!$A$2:$ED$15,16,)</f>
        <v>2400</v>
      </c>
      <c r="L7" s="3">
        <f>VLOOKUP($A$2,'Circuit Data'!$A$2:$ED$15,15,)</f>
        <v>2640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1620</v>
      </c>
      <c r="H8" s="3">
        <f>VLOOKUP($A$2,'Circuit Data'!$A$2:$ED$15,25,)</f>
        <v>2289</v>
      </c>
      <c r="I8" s="3">
        <f>VLOOKUP($A$2,'Circuit Data'!$A$2:$ED$15,24,)</f>
        <v>2204</v>
      </c>
      <c r="J8" s="3">
        <f>VLOOKUP($A$2,'Circuit Data'!$A$2:$ED$15,23,)</f>
        <v>1669</v>
      </c>
      <c r="K8" s="3">
        <f>VLOOKUP($A$2,'Circuit Data'!$A$2:$ED$15,22,)</f>
        <v>1579</v>
      </c>
      <c r="L8" s="3">
        <f>VLOOKUP($A$2,'Circuit Data'!$A$2:$ED$15,21,)</f>
        <v>1500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534</v>
      </c>
      <c r="H9" s="3">
        <f>VLOOKUP($A$2,'Circuit Data'!$A$2:$ED$15,31,)</f>
        <v>597</v>
      </c>
      <c r="I9" s="3">
        <f>VLOOKUP($A$2,'Circuit Data'!$A$2:$ED$15,30,)</f>
        <v>579</v>
      </c>
      <c r="J9" s="3">
        <f>VLOOKUP($A$2,'Circuit Data'!$A$2:$ED$15,29,)</f>
        <v>473</v>
      </c>
      <c r="K9" s="3">
        <f>VLOOKUP($A$2,'Circuit Data'!$A$2:$ED$15,28,)</f>
        <v>470</v>
      </c>
      <c r="L9" s="3">
        <f>VLOOKUP($A$2,'Circuit Data'!$A$2:$ED$15,27,)</f>
        <v>426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2.4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1.4</v>
      </c>
      <c r="H11" s="5">
        <f>VLOOKUP($A$2,'Circuit Data'!$A$2:$ED$15,37,)</f>
        <v>-12.5</v>
      </c>
      <c r="I11" s="5">
        <f>VLOOKUP($A$2,'Circuit Data'!$A$2:$ED$15,36,)</f>
        <v>-7.8</v>
      </c>
      <c r="J11" s="5">
        <f>VLOOKUP($A$2,'Circuit Data'!$A$2:$ED$15,35,)</f>
        <v>0.2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6503</v>
      </c>
      <c r="H12" s="9">
        <f>VLOOKUP($A$2,'Circuit Data'!$A$2:$ED$15,43,)</f>
        <v>6931</v>
      </c>
      <c r="I12" s="3">
        <f>VLOOKUP($A$2,'Circuit Data'!$A$2:$ED$15,42,)</f>
        <v>7366</v>
      </c>
      <c r="J12" s="3">
        <f>VLOOKUP($A$2,'Circuit Data'!$A$2:$ED$15,41,)</f>
        <v>6498</v>
      </c>
      <c r="K12" s="3">
        <f>VLOOKUP($A$2,'Circuit Data'!$A$2:$ED$15,40,)</f>
        <v>6362</v>
      </c>
      <c r="L12" s="3">
        <f>VLOOKUP($A$2,'Circuit Data'!$A$2:$ED$15,39,)</f>
        <v>6303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157</v>
      </c>
      <c r="H13" s="3">
        <f>VLOOKUP($A$2,'Circuit Data'!$A$2:$ED$15,49,)</f>
        <v>172</v>
      </c>
      <c r="I13" s="3">
        <f>VLOOKUP($A$2,'Circuit Data'!$A$2:$ED$15,48,)</f>
        <v>261</v>
      </c>
      <c r="J13" s="3">
        <f>VLOOKUP($A$2,'Circuit Data'!$A$2:$ED$15,47,)</f>
        <v>141</v>
      </c>
      <c r="K13" s="3">
        <f>VLOOKUP($A$2,'Circuit Data'!$A$2:$ED$15,46,)</f>
        <v>128</v>
      </c>
      <c r="L13" s="3">
        <f>VLOOKUP($A$2,'Circuit Data'!$A$2:$ED$15,45,)</f>
        <v>154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3151</v>
      </c>
      <c r="H14" s="3">
        <f>VLOOKUP($A$2,'Circuit Data'!$A$2:$ED$15,55,)</f>
        <v>3691</v>
      </c>
      <c r="I14" s="3">
        <f>VLOOKUP($A$2,'Circuit Data'!$A$2:$ED$15,54,)</f>
        <v>3636</v>
      </c>
      <c r="J14" s="3">
        <f>VLOOKUP($A$2,'Circuit Data'!$A$2:$ED$15,53,)</f>
        <v>3214</v>
      </c>
      <c r="K14" s="3">
        <f>VLOOKUP($A$2,'Circuit Data'!$A$2:$ED$15,52,)</f>
        <v>3142</v>
      </c>
      <c r="L14" s="3">
        <f>VLOOKUP($A$2,'Circuit Data'!$A$2:$ED$15,51,)</f>
        <v>2985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3195</v>
      </c>
      <c r="H15" s="3">
        <f>VLOOKUP($A$2,'Circuit Data'!$A$2:$ED$15,61,)</f>
        <v>3068</v>
      </c>
      <c r="I15" s="3">
        <f>VLOOKUP($A$2,'Circuit Data'!$A$2:$ED$15,60,)</f>
        <v>3469</v>
      </c>
      <c r="J15" s="3">
        <f>VLOOKUP($A$2,'Circuit Data'!$A$2:$ED$15,59,)</f>
        <v>3143</v>
      </c>
      <c r="K15" s="3">
        <f>VLOOKUP($A$2,'Circuit Data'!$A$2:$ED$15,58,)</f>
        <v>3092</v>
      </c>
      <c r="L15" s="3">
        <f>VLOOKUP($A$2,'Circuit Data'!$A$2:$ED$15,57,)</f>
        <v>3318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402</v>
      </c>
      <c r="H16" s="3">
        <f>VLOOKUP($A$2,'Circuit Data'!$A$2:$ED$15,67,)</f>
        <v>426</v>
      </c>
      <c r="I16" s="3">
        <f>VLOOKUP($A$2,'Circuit Data'!$A$2:$ED$15,66,)</f>
        <v>340</v>
      </c>
      <c r="J16" s="3">
        <f>VLOOKUP($A$2,'Circuit Data'!$A$2:$ED$15,65,)</f>
        <v>367</v>
      </c>
      <c r="K16" s="3">
        <f>VLOOKUP($A$2,'Circuit Data'!$A$2:$ED$15,64,)</f>
        <v>372</v>
      </c>
      <c r="L16" s="3">
        <f>VLOOKUP($A$2,'Circuit Data'!$A$2:$ED$15,63,)</f>
        <v>521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1192</v>
      </c>
      <c r="H17" s="3">
        <f>VLOOKUP($A$2,'Circuit Data'!$A$2:$ED$15,73,)</f>
        <v>1136</v>
      </c>
      <c r="I17" s="3">
        <f>VLOOKUP($A$2,'Circuit Data'!$A$2:$ED$15,72,)</f>
        <v>1085</v>
      </c>
      <c r="J17" s="3">
        <f>VLOOKUP($A$2,'Circuit Data'!$A$2:$ED$15,71,)</f>
        <v>1126</v>
      </c>
      <c r="K17" s="3">
        <f>VLOOKUP($A$2,'Circuit Data'!$A$2:$ED$15,70,)</f>
        <v>1133</v>
      </c>
      <c r="L17" s="3">
        <f>VLOOKUP($A$2,'Circuit Data'!$A$2:$ED$15,69,)</f>
        <v>1376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1240</v>
      </c>
      <c r="H18" s="3">
        <f>VLOOKUP($A$2,'Circuit Data'!$A$2:$ED$15,79,)</f>
        <v>1258</v>
      </c>
      <c r="I18" s="3">
        <f>VLOOKUP($A$2,'Circuit Data'!$A$2:$ED$15,78,)</f>
        <v>1674</v>
      </c>
      <c r="J18" s="3">
        <f>VLOOKUP($A$2,'Circuit Data'!$A$2:$ED$15,77,)</f>
        <v>1387</v>
      </c>
      <c r="K18" s="3">
        <f>VLOOKUP($A$2,'Circuit Data'!$A$2:$ED$15,76,)</f>
        <v>1318</v>
      </c>
      <c r="L18" s="3">
        <f>VLOOKUP($A$2,'Circuit Data'!$A$2:$ED$15,75,)</f>
        <v>1151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361</v>
      </c>
      <c r="H19" s="3">
        <f>VLOOKUP($A$2,'Circuit Data'!$A$2:$ED$15,85,)</f>
        <v>248</v>
      </c>
      <c r="I19" s="3">
        <f>VLOOKUP($A$2,'Circuit Data'!$A$2:$ED$15,84,)</f>
        <v>370</v>
      </c>
      <c r="J19" s="3">
        <f>VLOOKUP($A$2,'Circuit Data'!$A$2:$ED$15,83,)</f>
        <v>263</v>
      </c>
      <c r="K19" s="3">
        <f>VLOOKUP($A$2,'Circuit Data'!$A$2:$ED$15,82,)</f>
        <v>269</v>
      </c>
      <c r="L19" s="3">
        <f>VLOOKUP($A$2,'Circuit Data'!$A$2:$ED$15,81,)</f>
        <v>270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88.3</v>
      </c>
      <c r="H20" s="5">
        <f>VLOOKUP($A$2,'Circuit Data'!$A$2:$ED$15,91,)</f>
        <v>88.8</v>
      </c>
      <c r="I20" s="5">
        <f>VLOOKUP($A$2,'Circuit Data'!$A$2:$ED$15,90,)</f>
        <v>84.1</v>
      </c>
      <c r="J20" s="5">
        <f>VLOOKUP($A$2,'Circuit Data'!$A$2:$ED$15,89,)</f>
        <v>81.599999999999994</v>
      </c>
      <c r="K20" s="5">
        <f>VLOOKUP($A$2,'Circuit Data'!$A$2:$ED$15,88,)</f>
        <v>81.900000000000006</v>
      </c>
      <c r="L20" s="5">
        <f>VLOOKUP($A$2,'Circuit Data'!$A$2:$ED$15,87,)</f>
        <v>73.2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3407</v>
      </c>
      <c r="H21" s="3">
        <f>VLOOKUP($A$2,'Circuit Data'!$A$2:$ED$15,97,)</f>
        <v>3834</v>
      </c>
      <c r="I21" s="3">
        <f>VLOOKUP($A$2,'Circuit Data'!$A$2:$ED$15,96,)</f>
        <v>3465</v>
      </c>
      <c r="J21" s="3">
        <f>VLOOKUP($A$2,'Circuit Data'!$A$2:$ED$15,95,)</f>
        <v>3406</v>
      </c>
      <c r="K21" s="3">
        <f>VLOOKUP($A$2,'Circuit Data'!$A$2:$ED$15,94,)</f>
        <v>3565</v>
      </c>
      <c r="L21" s="3">
        <f>VLOOKUP($A$2,'Circuit Data'!$A$2:$ED$15,93,)</f>
        <v>3683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705</v>
      </c>
      <c r="H22" s="3">
        <f>VLOOKUP($A$2,'Circuit Data'!$A$2:$ED$15,103,)</f>
        <v>684</v>
      </c>
      <c r="I22" s="3">
        <f>VLOOKUP($A$2,'Circuit Data'!$A$2:$ED$15,102,)</f>
        <v>775</v>
      </c>
      <c r="J22" s="3">
        <f>VLOOKUP($A$2,'Circuit Data'!$A$2:$ED$15,101,)</f>
        <v>678</v>
      </c>
      <c r="K22" s="3">
        <f>VLOOKUP($A$2,'Circuit Data'!$A$2:$ED$15,100,)</f>
        <v>664</v>
      </c>
      <c r="L22" s="3">
        <f>VLOOKUP($A$2,'Circuit Data'!$A$2:$ED$15,99,)</f>
        <v>722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273</v>
      </c>
      <c r="H23" s="3">
        <f>VLOOKUP($A$2,'Circuit Data'!$A$2:$ED$15,109,)</f>
        <v>283</v>
      </c>
      <c r="I23" s="3">
        <f>VLOOKUP($A$2,'Circuit Data'!$A$2:$ED$15,108,)</f>
        <v>310</v>
      </c>
      <c r="J23" s="3">
        <f>VLOOKUP($A$2,'Circuit Data'!$A$2:$ED$15,107,)</f>
        <v>259</v>
      </c>
      <c r="K23" s="3">
        <f>VLOOKUP($A$2,'Circuit Data'!$A$2:$ED$15,106,)</f>
        <v>250</v>
      </c>
      <c r="L23" s="3">
        <f>VLOOKUP($A$2,'Circuit Data'!$A$2:$ED$15,105,)</f>
        <v>287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220</v>
      </c>
      <c r="H24" s="3">
        <f>VLOOKUP($A$2,'Circuit Data'!$A$2:$ED$15,115,)</f>
        <v>215</v>
      </c>
      <c r="I24" s="3">
        <f>VLOOKUP($A$2,'Circuit Data'!$A$2:$ED$15,114,)</f>
        <v>242</v>
      </c>
      <c r="J24" s="3">
        <f>VLOOKUP($A$2,'Circuit Data'!$A$2:$ED$15,113,)</f>
        <v>217</v>
      </c>
      <c r="K24" s="3">
        <f>VLOOKUP($A$2,'Circuit Data'!$A$2:$ED$15,112,)</f>
        <v>213</v>
      </c>
      <c r="L24" s="3">
        <f>VLOOKUP($A$2,'Circuit Data'!$A$2:$ED$15,111,)</f>
        <v>246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16</v>
      </c>
      <c r="H25" s="3">
        <f>VLOOKUP($A$2,'Circuit Data'!$A$2:$ED$15,121,)</f>
        <v>16</v>
      </c>
      <c r="I25" s="3">
        <f>VLOOKUP($A$2,'Circuit Data'!$A$2:$ED$15,120,)</f>
        <v>15</v>
      </c>
      <c r="J25" s="3">
        <f>VLOOKUP($A$2,'Circuit Data'!$A$2:$ED$15,119,)</f>
        <v>16</v>
      </c>
      <c r="K25" s="3">
        <f>VLOOKUP($A$2,'Circuit Data'!$A$2:$ED$15,118,)</f>
        <v>16</v>
      </c>
      <c r="L25" s="3">
        <f>VLOOKUP($A$2,'Circuit Data'!$A$2:$ED$15,117,)</f>
        <v>17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192</v>
      </c>
      <c r="H26" s="3">
        <f>VLOOKUP($A$2,'Circuit Data'!$A$2:$ED$15,127,)</f>
        <v>184</v>
      </c>
      <c r="I26" s="3">
        <f>VLOOKUP($A$2,'Circuit Data'!$A$2:$ED$15,126,)</f>
        <v>211</v>
      </c>
      <c r="J26" s="3">
        <f>VLOOKUP($A$2,'Circuit Data'!$A$2:$ED$15,125,)</f>
        <v>183</v>
      </c>
      <c r="K26" s="3">
        <f>VLOOKUP($A$2,'Circuit Data'!$A$2:$ED$15,124,)</f>
        <v>178</v>
      </c>
      <c r="L26" s="3">
        <f>VLOOKUP($A$2,'Circuit Data'!$A$2:$ED$15,123,)</f>
        <v>216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>
        <f>VLOOKUP($A$2,'Circuit Data'!$A$2:$ED$15,134,)</f>
        <v>12</v>
      </c>
      <c r="H27" s="3">
        <f>VLOOKUP($A$2,'Circuit Data'!$A$2:$ED$15,133,)</f>
        <v>15</v>
      </c>
      <c r="I27" s="3">
        <f>VLOOKUP($A$2,'Circuit Data'!$A$2:$ED$15,132,)</f>
        <v>16</v>
      </c>
      <c r="J27" s="3">
        <f>VLOOKUP($A$2,'Circuit Data'!$A$2:$ED$15,131,)</f>
        <v>18</v>
      </c>
      <c r="K27" s="3">
        <f>VLOOKUP($A$2,'Circuit Data'!$A$2:$ED$15,130,)</f>
        <v>19</v>
      </c>
      <c r="L27" s="3">
        <f>VLOOKUP($A$2,'Circuit Data'!$A$2:$ED$15,129,)</f>
        <v>13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ELEVENTH CIRCUIT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12/4.0</v>
      </c>
      <c r="H34" s="3" t="str">
        <f>VLOOKUP($A$2,'Circuit Data2'!$A$2:$EP$15,12,)&amp;"/"&amp;TEXT(VLOOKUP($A$2,'Circuit Data2'!$A$2:$EP$15,13,),"0.0")</f>
        <v>12/4.0</v>
      </c>
      <c r="I34" s="3" t="str">
        <f>VLOOKUP($A$2,'Circuit Data2'!$A$2:$EP$15,10,)&amp;"/"&amp;TEXT(VLOOKUP($A$2,'Circuit Data2'!$A$2:$EP$15,11,),"0.0")</f>
        <v>12/4.0</v>
      </c>
      <c r="J34" s="3" t="str">
        <f>VLOOKUP($A$2,'Circuit Data2'!$A$2:$EP$15,8,)&amp;"/"&amp;TEXT(VLOOKUP($A$2,'Circuit Data2'!$A$2:$EP$15,9,),"0.0")</f>
        <v>12/4.0</v>
      </c>
      <c r="K34" s="3" t="str">
        <f>VLOOKUP($A$2,'Circuit Data2'!$A$2:$EP$15,6,)&amp;"/"&amp;TEXT(VLOOKUP($A$2,'Circuit Data2'!$A$2:$EP$15,7,),"0.0")</f>
        <v>12/4.0</v>
      </c>
      <c r="L34" s="3" t="str">
        <f>VLOOKUP($A$2,'Circuit Data2'!$A$2:$EP$15,4,)&amp;"/"&amp;TEXT(VLOOKUP($A$2,'Circuit Data2'!$A$2:$EP$15,5,),"0.0")</f>
        <v>12/4.0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4</v>
      </c>
      <c r="H35" s="3">
        <f>VLOOKUP($A$2,'Circuit Data2'!$A$2:$EP$15,20,)</f>
        <v>4</v>
      </c>
      <c r="I35" s="3">
        <f>VLOOKUP($A$2,'Circuit Data2'!$A$2:$EP$15,19,)</f>
        <v>5</v>
      </c>
      <c r="J35" s="3">
        <f>VLOOKUP($A$2,'Circuit Data2'!$A$2:$EP$15,18,)</f>
        <v>5</v>
      </c>
      <c r="K35" s="3">
        <f>VLOOKUP($A$2,'Circuit Data2'!$A$2:$EP$15,17,)</f>
        <v>5</v>
      </c>
      <c r="L35" s="3">
        <f>VLOOKUP($A$2,'Circuit Data2'!$A$2:$EP$15,16,)</f>
        <v>6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0</v>
      </c>
      <c r="H36" s="17">
        <f>VLOOKUP($A$2,'Circuit Data2'!$A$2:$EP$15,26,)</f>
        <v>0</v>
      </c>
      <c r="I36" s="17">
        <f>VLOOKUP($A$2,'Circuit Data2'!$A$2:$EP$15,25,)</f>
        <v>7.9</v>
      </c>
      <c r="J36" s="17">
        <f>VLOOKUP($A$2,'Circuit Data2'!$A$2:$EP$15,24,)</f>
        <v>4.7</v>
      </c>
      <c r="K36" s="17">
        <f>VLOOKUP($A$2,'Circuit Data2'!$A$2:$EP$15,23,)</f>
        <v>4.7</v>
      </c>
      <c r="L36" s="17">
        <f>VLOOKUP($A$2,'Circuit Data2'!$A$2:$EP$15,22,)</f>
        <v>4.5999999999999996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1590</v>
      </c>
      <c r="H37" s="3">
        <f>VLOOKUP($A$2,'Circuit Data2'!$A$2:$EP$15,32,)</f>
        <v>1843</v>
      </c>
      <c r="I37" s="3">
        <f>VLOOKUP($A$2,'Circuit Data2'!$A$2:$EP$15,31,)</f>
        <v>1749</v>
      </c>
      <c r="J37" s="3">
        <f>VLOOKUP($A$2,'Circuit Data2'!$A$2:$EP$15,30,)</f>
        <v>1610</v>
      </c>
      <c r="K37" s="3">
        <f>VLOOKUP($A$2,'Circuit Data2'!$A$2:$EP$15,29,)</f>
        <v>1574</v>
      </c>
      <c r="L37" s="3">
        <f>VLOOKUP($A$2,'Circuit Data2'!$A$2:$EP$15,28,)</f>
        <v>1612</v>
      </c>
      <c r="M37" s="16">
        <f>VLOOKUP($A$2,'Circuit Data2'!$A$2:$EP$15,34,)</f>
        <v>1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501</v>
      </c>
      <c r="H38" s="3">
        <f>VLOOKUP($A$2,'Circuit Data2'!$A$2:$EP$15,39,)</f>
        <v>557</v>
      </c>
      <c r="I38" s="3">
        <f>VLOOKUP($A$2,'Circuit Data2'!$A$2:$EP$15,38,)</f>
        <v>489</v>
      </c>
      <c r="J38" s="3">
        <f>VLOOKUP($A$2,'Circuit Data2'!$A$2:$EP$15,37,)</f>
        <v>465</v>
      </c>
      <c r="K38" s="3">
        <f>VLOOKUP($A$2,'Circuit Data2'!$A$2:$EP$15,36,)</f>
        <v>462</v>
      </c>
      <c r="L38" s="3">
        <f>VLOOKUP($A$2,'Circuit Data2'!$A$2:$EP$15,35,)</f>
        <v>471</v>
      </c>
      <c r="M38" s="11">
        <f>VLOOKUP($A$2,'Circuit Data2'!$A$2:$EP$15,41,)</f>
        <v>1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550</v>
      </c>
      <c r="H39" s="3">
        <f>VLOOKUP($A$2,'Circuit Data2'!$A$2:$EP$15,46,)</f>
        <v>565</v>
      </c>
      <c r="I39" s="3">
        <f>VLOOKUP($A$2,'Circuit Data2'!$A$2:$EP$15,45,)</f>
        <v>564</v>
      </c>
      <c r="J39" s="3">
        <f>VLOOKUP($A$2,'Circuit Data2'!$A$2:$EP$15,44,)</f>
        <v>610</v>
      </c>
      <c r="K39" s="3">
        <f>VLOOKUP($A$2,'Circuit Data2'!$A$2:$EP$15,43,)</f>
        <v>599</v>
      </c>
      <c r="L39" s="3">
        <f>VLOOKUP($A$2,'Circuit Data2'!$A$2:$EP$15,42,)</f>
        <v>659</v>
      </c>
      <c r="M39" s="12">
        <f>VLOOKUP($A$2,'Circuit Data2'!$A$2:$EP$15,48,)</f>
        <v>1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405</v>
      </c>
      <c r="H40" s="3">
        <f>VLOOKUP($A$2,'Circuit Data2'!$A$2:$EP$15,53,)</f>
        <v>572</v>
      </c>
      <c r="I40" s="3">
        <f>VLOOKUP($A$2,'Circuit Data2'!$A$2:$EP$15,52,)</f>
        <v>551</v>
      </c>
      <c r="J40" s="3">
        <f>VLOOKUP($A$2,'Circuit Data2'!$A$2:$EP$15,51,)</f>
        <v>417</v>
      </c>
      <c r="K40" s="14">
        <f>VLOOKUP($A$2,'Circuit Data2'!$A$2:$EP$15,50,)</f>
        <v>395</v>
      </c>
      <c r="L40" s="3">
        <f>VLOOKUP($A$2,'Circuit Data2'!$A$2:$EP$15,49,)</f>
        <v>375</v>
      </c>
      <c r="M40" s="12">
        <f>VLOOKUP($A$2,'Circuit Data2'!$A$2:$EP$15,55,)</f>
        <v>2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134</v>
      </c>
      <c r="H41" s="3">
        <f>VLOOKUP($A$2,'Circuit Data2'!$A$2:$EP$15,60,)</f>
        <v>149</v>
      </c>
      <c r="I41" s="3">
        <f>VLOOKUP($A$2,'Circuit Data2'!$A$2:$EP$15,59,)</f>
        <v>145</v>
      </c>
      <c r="J41" s="3">
        <f>VLOOKUP($A$2,'Circuit Data2'!$A$2:$EP$15,58,)</f>
        <v>118</v>
      </c>
      <c r="K41" s="3">
        <f>VLOOKUP($A$2,'Circuit Data2'!$A$2:$EP$15,57,)</f>
        <v>118</v>
      </c>
      <c r="L41" s="3">
        <f>VLOOKUP($A$2,'Circuit Data2'!$A$2:$EP$15,56,)</f>
        <v>107</v>
      </c>
      <c r="M41" s="12">
        <f>VLOOKUP($A$2,'Circuit Data2'!$A$2:$EP$15,62,)</f>
        <v>4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1626</v>
      </c>
      <c r="H42" s="3">
        <f>VLOOKUP($A$2,'Circuit Data2'!$A$2:$EP$15,67,)</f>
        <v>1733</v>
      </c>
      <c r="I42" s="3">
        <f>VLOOKUP($A$2,'Circuit Data2'!$A$2:$EP$15,66,)</f>
        <v>1842</v>
      </c>
      <c r="J42" s="3">
        <f>VLOOKUP($A$2,'Circuit Data2'!$A$2:$EP$15,65,)</f>
        <v>1625</v>
      </c>
      <c r="K42" s="3">
        <f>VLOOKUP($A$2,'Circuit Data2'!$A$2:$EP$15,64,)</f>
        <v>1591</v>
      </c>
      <c r="L42" s="3">
        <f>VLOOKUP($A$2,'Circuit Data2'!$A$2:$EP$15,63,)</f>
        <v>1576</v>
      </c>
      <c r="M42" s="13">
        <f>VLOOKUP($A$2,'Circuit Data2'!$A$2:$EP$15,69,)</f>
        <v>1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39</v>
      </c>
      <c r="H43" s="15">
        <f>VLOOKUP($A$2,'Circuit Data2'!$A$2:$EP$15,74,)</f>
        <v>43</v>
      </c>
      <c r="I43" s="3">
        <f>VLOOKUP($A$2,'Circuit Data2'!$A$2:$EP$15,73,)</f>
        <v>66</v>
      </c>
      <c r="J43" s="3">
        <f>VLOOKUP($A$2,'Circuit Data2'!$A$2:$EP$15,72,)</f>
        <v>35</v>
      </c>
      <c r="K43" s="3">
        <f>VLOOKUP($A$2,'Circuit Data2'!$A$2:$EP$15,71,)</f>
        <v>32</v>
      </c>
      <c r="L43" s="3">
        <f>VLOOKUP($A$2,'Circuit Data2'!$A$2:$EP$15,70,)</f>
        <v>39</v>
      </c>
      <c r="M43" s="13">
        <f>VLOOKUP($A$2,'Circuit Data2'!$A$2:$EP$15,76,)</f>
        <v>6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788</v>
      </c>
      <c r="H44" s="3">
        <f>VLOOKUP($A$2,'Circuit Data2'!$A$2:$EP$15,81,)</f>
        <v>923</v>
      </c>
      <c r="I44" s="3">
        <f>VLOOKUP($A$2,'Circuit Data2'!$A$2:$EP$15,80,)</f>
        <v>909</v>
      </c>
      <c r="J44" s="3">
        <f>VLOOKUP($A$2,'Circuit Data2'!$A$2:$EP$15,79,)</f>
        <v>804</v>
      </c>
      <c r="K44" s="3">
        <f>VLOOKUP($A$2,'Circuit Data2'!$A$2:$EP$15,78,)</f>
        <v>786</v>
      </c>
      <c r="L44" s="3">
        <f>VLOOKUP($A$2,'Circuit Data2'!$A$2:$EP$15,77,)</f>
        <v>746</v>
      </c>
      <c r="M44" s="13">
        <f>VLOOKUP($A$2,'Circuit Data2'!$A$2:$EP$15,83,)</f>
        <v>1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799</v>
      </c>
      <c r="H45" s="3">
        <f>VLOOKUP($A$2,'Circuit Data2'!$A$2:$EP$15,88,)</f>
        <v>767</v>
      </c>
      <c r="I45" s="3">
        <f>VLOOKUP($A$2,'Circuit Data2'!$A$2:$EP$15,87,)</f>
        <v>867</v>
      </c>
      <c r="J45" s="3">
        <f>VLOOKUP($A$2,'Circuit Data2'!$A$2:$EP$15,86,)</f>
        <v>786</v>
      </c>
      <c r="K45" s="3">
        <f>VLOOKUP($A$2,'Circuit Data2'!$A$2:$EP$15,85,)</f>
        <v>773</v>
      </c>
      <c r="L45" s="3">
        <f>VLOOKUP($A$2,'Circuit Data2'!$A$2:$EP$15,84,)</f>
        <v>830</v>
      </c>
      <c r="M45" s="13">
        <f>VLOOKUP($A$2,'Circuit Data2'!$A$2:$EP$15,90,)</f>
        <v>1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101</v>
      </c>
      <c r="H46" s="3">
        <f>VLOOKUP($A$2,'Circuit Data2'!$A$2:$EP$15,95,)</f>
        <v>107</v>
      </c>
      <c r="I46" s="3">
        <f>VLOOKUP($A$2,'Circuit Data2'!$A$2:$EP$15,94,)</f>
        <v>85</v>
      </c>
      <c r="J46" s="3">
        <f>VLOOKUP($A$2,'Circuit Data2'!$A$2:$EP$15,93,)</f>
        <v>92</v>
      </c>
      <c r="K46" s="3">
        <f>VLOOKUP($A$2,'Circuit Data2'!$A$2:$EP$15,92,)</f>
        <v>93</v>
      </c>
      <c r="L46" s="3">
        <f>VLOOKUP($A$2,'Circuit Data2'!$A$2:$EP$15,91,)</f>
        <v>130</v>
      </c>
      <c r="M46" s="11">
        <f>VLOOKUP($A$2,'Circuit Data2'!$A$2:$EP$15,97,)</f>
        <v>2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298</v>
      </c>
      <c r="H47" s="3">
        <f>VLOOKUP($A$2,'Circuit Data2'!$A$2:$EP$15,102,)</f>
        <v>283</v>
      </c>
      <c r="I47" s="3">
        <f>VLOOKUP($A$2,'Circuit Data2'!$A$2:$EP$15,101,)</f>
        <v>270</v>
      </c>
      <c r="J47" s="3">
        <f>VLOOKUP($A$2,'Circuit Data2'!$A$2:$EP$15,100,)</f>
        <v>281</v>
      </c>
      <c r="K47" s="3">
        <f>VLOOKUP($A$2,'Circuit Data2'!$A$2:$EP$15,99,)</f>
        <v>283</v>
      </c>
      <c r="L47" s="15">
        <f>VLOOKUP($A$2,'Circuit Data2'!$A$2:$EP$15,98,)</f>
        <v>344</v>
      </c>
      <c r="M47" s="13">
        <f>VLOOKUP($A$2,'Circuit Data2'!$A$2:$EP$15,104,)</f>
        <v>1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310</v>
      </c>
      <c r="H48" s="3">
        <f>VLOOKUP($A$2,'Circuit Data2'!$A$2:$EP$15,109,)</f>
        <v>315</v>
      </c>
      <c r="I48" s="3">
        <f>VLOOKUP($A$2,'Circuit Data2'!$A$2:$EP$15,108,)</f>
        <v>419</v>
      </c>
      <c r="J48" s="3">
        <f>VLOOKUP($A$2,'Circuit Data2'!$A$2:$EP$15,107,)</f>
        <v>347</v>
      </c>
      <c r="K48" s="3">
        <f>VLOOKUP($A$2,'Circuit Data2'!$A$2:$EP$15,106,)</f>
        <v>330</v>
      </c>
      <c r="L48" s="3">
        <f>VLOOKUP($A$2,'Circuit Data2'!$A$2:$EP$15,105,)</f>
        <v>288</v>
      </c>
      <c r="M48" s="13">
        <f>VLOOKUP($A$2,'Circuit Data2'!$A$2:$EP$15,111,)</f>
        <v>3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90</v>
      </c>
      <c r="H49" s="3">
        <f>VLOOKUP($A$2,'Circuit Data2'!$A$2:$EP$15,116,)</f>
        <v>62</v>
      </c>
      <c r="I49" s="3">
        <f>VLOOKUP($A$2,'Circuit Data2'!$A$2:$EP$15,115,)</f>
        <v>93</v>
      </c>
      <c r="J49" s="3">
        <f>VLOOKUP($A$2,'Circuit Data2'!$A$2:$EP$15,114,)</f>
        <v>66</v>
      </c>
      <c r="K49" s="3">
        <f>VLOOKUP($A$2,'Circuit Data2'!$A$2:$EP$15,113,)</f>
        <v>67</v>
      </c>
      <c r="L49" s="3">
        <f>VLOOKUP($A$2,'Circuit Data2'!$A$2:$EP$15,112,)</f>
        <v>68</v>
      </c>
      <c r="M49" s="13">
        <f>VLOOKUP($A$2,'Circuit Data2'!$A$2:$EP$15,118,)</f>
        <v>4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852</v>
      </c>
      <c r="H50" s="3">
        <f>VLOOKUP($A$2,'Circuit Data2'!$A$2:$EP$15,123,)</f>
        <v>959</v>
      </c>
      <c r="I50" s="3">
        <f>VLOOKUP($A$2,'Circuit Data2'!$A$2:$EP$15,122,)</f>
        <v>866</v>
      </c>
      <c r="J50" s="3">
        <f>VLOOKUP($A$2,'Circuit Data2'!$A$2:$EP$15,121,)</f>
        <v>852</v>
      </c>
      <c r="K50" s="3">
        <f>VLOOKUP($A$2,'Circuit Data2'!$A$2:$EP$15,120,)</f>
        <v>891</v>
      </c>
      <c r="L50" s="3">
        <f>VLOOKUP($A$2,'Circuit Data2'!$A$2:$EP$15,119,)</f>
        <v>921</v>
      </c>
      <c r="M50" s="13">
        <f>VLOOKUP($A$2,'Circuit Data2'!$A$2:$EP$15,125,)</f>
        <v>3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9.4</v>
      </c>
      <c r="H51" s="10">
        <f>VLOOKUP($A$2,'Circuit Data2'!$A$2:$EP$15,130,)</f>
        <v>9.3000000000000007</v>
      </c>
      <c r="I51" s="5">
        <f>VLOOKUP($A$2,'Circuit Data2'!$A$2:$EP$15,129,)</f>
        <v>8.9</v>
      </c>
      <c r="J51" s="5">
        <f>VLOOKUP($A$2,'Circuit Data2'!$A$2:$EP$15,128,)</f>
        <v>9.1</v>
      </c>
      <c r="K51" s="5">
        <f>VLOOKUP($A$2,'Circuit Data2'!$A$2:$EP$15,127,)</f>
        <v>9.1999999999999993</v>
      </c>
      <c r="L51" s="5">
        <f>VLOOKUP($A$2,'Circuit Data2'!$A$2:$EP$15,126,)</f>
        <v>8.3000000000000007</v>
      </c>
      <c r="M51" s="12">
        <f>VLOOKUP($A$2,'Circuit Data2'!$A$2:$EP$15,132,)</f>
        <v>3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2</v>
      </c>
      <c r="H52" s="3">
        <f>VLOOKUP($A$2,'Circuit Data2'!$A$2:$EP$15,137,)</f>
        <v>2</v>
      </c>
      <c r="I52" s="3">
        <f>VLOOKUP($A$2,'Circuit Data2'!$A$2:$EP$15,136,)</f>
        <v>2</v>
      </c>
      <c r="J52" s="3">
        <f>VLOOKUP($A$2,'Circuit Data2'!$A$2:$EP$15,135,)</f>
        <v>2</v>
      </c>
      <c r="K52" s="3">
        <f>VLOOKUP($A$2,'Circuit Data2'!$A$2:$EP$15,134,)</f>
        <v>2</v>
      </c>
      <c r="L52" s="3">
        <f>VLOOKUP($A$2,'Circuit Data2'!$A$2:$EP$15,133,)</f>
        <v>1</v>
      </c>
      <c r="M52" s="11">
        <f>VLOOKUP($A$2,'Circuit Data2'!$A$2:$EP$15,139,)</f>
        <v>8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74</v>
      </c>
      <c r="H53" s="3">
        <f>VLOOKUP($A$2,'Circuit Data2'!$A$2:$EP$15,144,)</f>
        <v>74</v>
      </c>
      <c r="I53" s="3">
        <f>VLOOKUP($A$2,'Circuit Data2'!$A$2:$EP$15,143,)</f>
        <v>75</v>
      </c>
      <c r="J53" s="3">
        <f>VLOOKUP($A$2,'Circuit Data2'!$A$2:$EP$15,142,)</f>
        <v>71</v>
      </c>
      <c r="K53" s="3">
        <f>VLOOKUP($A$2,'Circuit Data2'!$A$2:$EP$15,141,)</f>
        <v>74</v>
      </c>
      <c r="L53" s="3">
        <f>VLOOKUP($A$2,'Circuit Data2'!$A$2:$EP$15,140,)</f>
        <v>60</v>
      </c>
      <c r="M53" s="11">
        <f>VLOOKUP($A$2,'Circuit Data2'!$A$2:$EP$15,146,)</f>
        <v>6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5"/>
  <sheetViews>
    <sheetView workbookViewId="0">
      <selection sqref="A1:XFD1048576"/>
    </sheetView>
  </sheetViews>
  <sheetFormatPr defaultRowHeight="15" x14ac:dyDescent="0.25"/>
  <cols>
    <col min="1" max="1" width="19" bestFit="1" customWidth="1"/>
    <col min="2" max="2" width="5.42578125" bestFit="1" customWidth="1"/>
    <col min="3" max="3" width="13.7109375" bestFit="1" customWidth="1"/>
    <col min="4" max="4" width="12.140625" bestFit="1" customWidth="1"/>
    <col min="5" max="8" width="10.140625" bestFit="1" customWidth="1"/>
    <col min="9" max="9" width="11.7109375" bestFit="1" customWidth="1"/>
    <col min="10" max="10" width="10.28515625" bestFit="1" customWidth="1"/>
    <col min="11" max="14" width="8.28515625" bestFit="1" customWidth="1"/>
    <col min="15" max="15" width="13.42578125" bestFit="1" customWidth="1"/>
    <col min="16" max="16" width="11.85546875" bestFit="1" customWidth="1"/>
    <col min="17" max="20" width="9.85546875" bestFit="1" customWidth="1"/>
    <col min="21" max="21" width="12.28515625" bestFit="1" customWidth="1"/>
    <col min="22" max="22" width="10.85546875" bestFit="1" customWidth="1"/>
    <col min="23" max="26" width="8.85546875" bestFit="1" customWidth="1"/>
    <col min="27" max="27" width="14.140625" bestFit="1" customWidth="1"/>
    <col min="28" max="28" width="12.5703125" bestFit="1" customWidth="1"/>
    <col min="29" max="32" width="10.5703125" bestFit="1" customWidth="1"/>
    <col min="33" max="33" width="13.42578125" bestFit="1" customWidth="1"/>
    <col min="34" max="34" width="5.7109375" bestFit="1" customWidth="1"/>
    <col min="35" max="38" width="11.28515625" bestFit="1" customWidth="1"/>
    <col min="39" max="39" width="12.7109375" bestFit="1" customWidth="1"/>
    <col min="40" max="40" width="11.28515625" bestFit="1" customWidth="1"/>
    <col min="41" max="44" width="9.28515625" bestFit="1" customWidth="1"/>
    <col min="45" max="45" width="14.28515625" bestFit="1" customWidth="1"/>
    <col min="46" max="46" width="12.7109375" bestFit="1" customWidth="1"/>
    <col min="47" max="50" width="10.7109375" bestFit="1" customWidth="1"/>
    <col min="51" max="51" width="12.28515625" bestFit="1" customWidth="1"/>
    <col min="52" max="52" width="10.85546875" bestFit="1" customWidth="1"/>
    <col min="53" max="56" width="8.85546875" bestFit="1" customWidth="1"/>
    <col min="57" max="57" width="14.28515625" bestFit="1" customWidth="1"/>
    <col min="58" max="58" width="12.7109375" bestFit="1" customWidth="1"/>
    <col min="59" max="62" width="10.7109375" bestFit="1" customWidth="1"/>
    <col min="63" max="63" width="15.42578125" bestFit="1" customWidth="1"/>
    <col min="64" max="64" width="14" bestFit="1" customWidth="1"/>
    <col min="65" max="68" width="11.85546875" bestFit="1" customWidth="1"/>
    <col min="69" max="69" width="17" bestFit="1" customWidth="1"/>
    <col min="70" max="70" width="15.5703125" bestFit="1" customWidth="1"/>
    <col min="71" max="74" width="13.5703125" bestFit="1" customWidth="1"/>
    <col min="75" max="75" width="16" bestFit="1" customWidth="1"/>
    <col min="76" max="76" width="14.5703125" bestFit="1" customWidth="1"/>
    <col min="77" max="80" width="12.42578125" bestFit="1" customWidth="1"/>
    <col min="81" max="81" width="17.85546875" bestFit="1" customWidth="1"/>
    <col min="82" max="82" width="16.28515625" bestFit="1" customWidth="1"/>
    <col min="83" max="86" width="14.28515625" bestFit="1" customWidth="1"/>
    <col min="87" max="87" width="16.5703125" bestFit="1" customWidth="1"/>
    <col min="88" max="88" width="16.28515625" bestFit="1" customWidth="1"/>
    <col min="89" max="92" width="14.28515625" bestFit="1" customWidth="1"/>
    <col min="93" max="93" width="15.85546875" bestFit="1" customWidth="1"/>
    <col min="94" max="94" width="14.42578125" bestFit="1" customWidth="1"/>
    <col min="95" max="98" width="12.28515625" bestFit="1" customWidth="1"/>
    <col min="99" max="99" width="16" bestFit="1" customWidth="1"/>
    <col min="100" max="100" width="14.5703125" bestFit="1" customWidth="1"/>
    <col min="101" max="104" width="12.42578125" bestFit="1" customWidth="1"/>
    <col min="105" max="105" width="14.140625" bestFit="1" customWidth="1"/>
    <col min="106" max="106" width="12.5703125" bestFit="1" customWidth="1"/>
    <col min="107" max="110" width="10.5703125" bestFit="1" customWidth="1"/>
    <col min="111" max="111" width="16.85546875" bestFit="1" customWidth="1"/>
    <col min="112" max="112" width="15.42578125" bestFit="1" customWidth="1"/>
    <col min="113" max="116" width="13.42578125" bestFit="1" customWidth="1"/>
    <col min="117" max="117" width="16.140625" bestFit="1" customWidth="1"/>
    <col min="118" max="118" width="14.7109375" bestFit="1" customWidth="1"/>
    <col min="119" max="122" width="12.5703125" bestFit="1" customWidth="1"/>
    <col min="123" max="123" width="13.42578125" bestFit="1" customWidth="1"/>
    <col min="124" max="124" width="11.85546875" bestFit="1" customWidth="1"/>
    <col min="125" max="128" width="9.85546875" bestFit="1" customWidth="1"/>
    <col min="129" max="129" width="13.85546875" bestFit="1" customWidth="1"/>
    <col min="130" max="130" width="12.28515625" bestFit="1" customWidth="1"/>
    <col min="131" max="134" width="10.28515625" bestFit="1" customWidth="1"/>
    <col min="135" max="135" width="5.28515625" bestFit="1" customWidth="1"/>
  </cols>
  <sheetData>
    <row r="1" spans="1:135" x14ac:dyDescent="0.25">
      <c r="B1" t="s">
        <v>0</v>
      </c>
      <c r="C1" t="s">
        <v>248</v>
      </c>
      <c r="D1" t="s">
        <v>249</v>
      </c>
      <c r="E1" t="s">
        <v>1</v>
      </c>
      <c r="F1" t="s">
        <v>2</v>
      </c>
      <c r="G1" t="s">
        <v>3</v>
      </c>
      <c r="H1" t="s">
        <v>4</v>
      </c>
      <c r="I1" t="s">
        <v>250</v>
      </c>
      <c r="J1" t="s">
        <v>251</v>
      </c>
      <c r="K1" t="s">
        <v>5</v>
      </c>
      <c r="L1" t="s">
        <v>6</v>
      </c>
      <c r="M1" t="s">
        <v>7</v>
      </c>
      <c r="N1" t="s">
        <v>8</v>
      </c>
      <c r="O1" t="s">
        <v>252</v>
      </c>
      <c r="P1" t="s">
        <v>253</v>
      </c>
      <c r="Q1" t="s">
        <v>9</v>
      </c>
      <c r="R1" t="s">
        <v>10</v>
      </c>
      <c r="S1" t="s">
        <v>11</v>
      </c>
      <c r="T1" t="s">
        <v>12</v>
      </c>
      <c r="U1" t="s">
        <v>254</v>
      </c>
      <c r="V1" t="s">
        <v>255</v>
      </c>
      <c r="W1" t="s">
        <v>13</v>
      </c>
      <c r="X1" t="s">
        <v>14</v>
      </c>
      <c r="Y1" t="s">
        <v>15</v>
      </c>
      <c r="Z1" t="s">
        <v>16</v>
      </c>
      <c r="AA1" t="s">
        <v>256</v>
      </c>
      <c r="AB1" t="s">
        <v>257</v>
      </c>
      <c r="AC1" t="s">
        <v>17</v>
      </c>
      <c r="AD1" t="s">
        <v>18</v>
      </c>
      <c r="AE1" t="s">
        <v>19</v>
      </c>
      <c r="AF1" t="s">
        <v>20</v>
      </c>
      <c r="AG1" t="s">
        <v>258</v>
      </c>
      <c r="AH1" t="s">
        <v>22</v>
      </c>
      <c r="AI1" t="s">
        <v>21</v>
      </c>
      <c r="AJ1" t="s">
        <v>23</v>
      </c>
      <c r="AK1" t="s">
        <v>24</v>
      </c>
      <c r="AL1" t="s">
        <v>25</v>
      </c>
      <c r="AM1" t="s">
        <v>259</v>
      </c>
      <c r="AN1" t="s">
        <v>260</v>
      </c>
      <c r="AO1" t="s">
        <v>26</v>
      </c>
      <c r="AP1" t="s">
        <v>27</v>
      </c>
      <c r="AQ1" t="s">
        <v>28</v>
      </c>
      <c r="AR1" t="s">
        <v>29</v>
      </c>
      <c r="AS1" t="s">
        <v>261</v>
      </c>
      <c r="AT1" t="s">
        <v>262</v>
      </c>
      <c r="AU1" t="s">
        <v>30</v>
      </c>
      <c r="AV1" t="s">
        <v>31</v>
      </c>
      <c r="AW1" t="s">
        <v>32</v>
      </c>
      <c r="AX1" t="s">
        <v>33</v>
      </c>
      <c r="AY1" t="s">
        <v>263</v>
      </c>
      <c r="AZ1" t="s">
        <v>264</v>
      </c>
      <c r="BA1" t="s">
        <v>34</v>
      </c>
      <c r="BB1" t="s">
        <v>35</v>
      </c>
      <c r="BC1" t="s">
        <v>36</v>
      </c>
      <c r="BD1" t="s">
        <v>37</v>
      </c>
      <c r="BE1" t="s">
        <v>265</v>
      </c>
      <c r="BF1" t="s">
        <v>266</v>
      </c>
      <c r="BG1" t="s">
        <v>38</v>
      </c>
      <c r="BH1" t="s">
        <v>39</v>
      </c>
      <c r="BI1" t="s">
        <v>40</v>
      </c>
      <c r="BJ1" t="s">
        <v>41</v>
      </c>
      <c r="BK1" t="s">
        <v>267</v>
      </c>
      <c r="BL1" t="s">
        <v>268</v>
      </c>
      <c r="BM1" t="s">
        <v>42</v>
      </c>
      <c r="BN1" t="s">
        <v>43</v>
      </c>
      <c r="BO1" t="s">
        <v>44</v>
      </c>
      <c r="BP1" t="s">
        <v>45</v>
      </c>
      <c r="BQ1" t="s">
        <v>269</v>
      </c>
      <c r="BR1" t="s">
        <v>270</v>
      </c>
      <c r="BS1" t="s">
        <v>46</v>
      </c>
      <c r="BT1" t="s">
        <v>47</v>
      </c>
      <c r="BU1" t="s">
        <v>48</v>
      </c>
      <c r="BV1" t="s">
        <v>49</v>
      </c>
      <c r="BW1" t="s">
        <v>271</v>
      </c>
      <c r="BX1" t="s">
        <v>272</v>
      </c>
      <c r="BY1" t="s">
        <v>50</v>
      </c>
      <c r="BZ1" t="s">
        <v>51</v>
      </c>
      <c r="CA1" t="s">
        <v>52</v>
      </c>
      <c r="CB1" t="s">
        <v>53</v>
      </c>
      <c r="CC1" t="s">
        <v>273</v>
      </c>
      <c r="CD1" t="s">
        <v>274</v>
      </c>
      <c r="CE1" t="s">
        <v>54</v>
      </c>
      <c r="CF1" t="s">
        <v>55</v>
      </c>
      <c r="CG1" t="s">
        <v>56</v>
      </c>
      <c r="CH1" t="s">
        <v>57</v>
      </c>
      <c r="CI1" t="s">
        <v>275</v>
      </c>
      <c r="CJ1" t="s">
        <v>276</v>
      </c>
      <c r="CK1" t="s">
        <v>58</v>
      </c>
      <c r="CL1" t="s">
        <v>59</v>
      </c>
      <c r="CM1" t="s">
        <v>60</v>
      </c>
      <c r="CN1" t="s">
        <v>61</v>
      </c>
      <c r="CO1" t="s">
        <v>277</v>
      </c>
      <c r="CP1" t="s">
        <v>278</v>
      </c>
      <c r="CQ1" t="s">
        <v>62</v>
      </c>
      <c r="CR1" t="s">
        <v>63</v>
      </c>
      <c r="CS1" t="s">
        <v>64</v>
      </c>
      <c r="CT1" t="s">
        <v>65</v>
      </c>
      <c r="CU1" t="s">
        <v>279</v>
      </c>
      <c r="CV1" t="s">
        <v>280</v>
      </c>
      <c r="CW1" t="s">
        <v>66</v>
      </c>
      <c r="CX1" t="s">
        <v>67</v>
      </c>
      <c r="CY1" t="s">
        <v>68</v>
      </c>
      <c r="CZ1" t="s">
        <v>69</v>
      </c>
      <c r="DA1" t="s">
        <v>281</v>
      </c>
      <c r="DB1" t="s">
        <v>282</v>
      </c>
      <c r="DC1" t="s">
        <v>70</v>
      </c>
      <c r="DD1" t="s">
        <v>71</v>
      </c>
      <c r="DE1" t="s">
        <v>72</v>
      </c>
      <c r="DF1" t="s">
        <v>73</v>
      </c>
      <c r="DG1" t="s">
        <v>283</v>
      </c>
      <c r="DH1" t="s">
        <v>284</v>
      </c>
      <c r="DI1" t="s">
        <v>74</v>
      </c>
      <c r="DJ1" t="s">
        <v>75</v>
      </c>
      <c r="DK1" t="s">
        <v>76</v>
      </c>
      <c r="DL1" t="s">
        <v>77</v>
      </c>
      <c r="DM1" t="s">
        <v>285</v>
      </c>
      <c r="DN1" t="s">
        <v>286</v>
      </c>
      <c r="DO1" t="s">
        <v>78</v>
      </c>
      <c r="DP1" t="s">
        <v>79</v>
      </c>
      <c r="DQ1" t="s">
        <v>80</v>
      </c>
      <c r="DR1" t="s">
        <v>81</v>
      </c>
      <c r="DS1" t="s">
        <v>287</v>
      </c>
      <c r="DT1" t="s">
        <v>288</v>
      </c>
      <c r="DU1" t="s">
        <v>82</v>
      </c>
      <c r="DV1" t="s">
        <v>83</v>
      </c>
      <c r="DW1" t="s">
        <v>84</v>
      </c>
      <c r="DX1" t="s">
        <v>85</v>
      </c>
      <c r="DY1" t="s">
        <v>289</v>
      </c>
      <c r="DZ1" t="s">
        <v>290</v>
      </c>
      <c r="EA1" t="s">
        <v>86</v>
      </c>
      <c r="EB1" t="s">
        <v>87</v>
      </c>
      <c r="EC1" t="s">
        <v>88</v>
      </c>
      <c r="ED1" t="s">
        <v>89</v>
      </c>
      <c r="EE1" t="s">
        <v>90</v>
      </c>
    </row>
    <row r="2" spans="1:135" x14ac:dyDescent="0.25">
      <c r="A2" t="s">
        <v>231</v>
      </c>
      <c r="C2" s="1">
        <v>1534</v>
      </c>
      <c r="D2" s="1">
        <v>1530</v>
      </c>
      <c r="E2" s="1">
        <v>1530</v>
      </c>
      <c r="F2" s="1">
        <v>1746</v>
      </c>
      <c r="G2" s="1">
        <v>1631</v>
      </c>
      <c r="H2" s="1">
        <v>1863</v>
      </c>
      <c r="I2">
        <v>211</v>
      </c>
      <c r="J2">
        <v>225</v>
      </c>
      <c r="K2">
        <v>249</v>
      </c>
      <c r="L2">
        <v>290</v>
      </c>
      <c r="M2">
        <v>273</v>
      </c>
      <c r="N2">
        <v>249</v>
      </c>
      <c r="O2">
        <v>652</v>
      </c>
      <c r="P2">
        <v>607</v>
      </c>
      <c r="Q2">
        <v>608</v>
      </c>
      <c r="R2">
        <v>712</v>
      </c>
      <c r="S2">
        <v>622</v>
      </c>
      <c r="T2">
        <v>646</v>
      </c>
      <c r="U2">
        <v>480</v>
      </c>
      <c r="V2">
        <v>525</v>
      </c>
      <c r="W2">
        <v>515</v>
      </c>
      <c r="X2">
        <v>554</v>
      </c>
      <c r="Y2">
        <v>545</v>
      </c>
      <c r="Z2">
        <v>729</v>
      </c>
      <c r="AA2">
        <v>191</v>
      </c>
      <c r="AB2">
        <v>173</v>
      </c>
      <c r="AC2">
        <v>158</v>
      </c>
      <c r="AD2">
        <v>190</v>
      </c>
      <c r="AE2">
        <v>191</v>
      </c>
      <c r="AF2">
        <v>239</v>
      </c>
      <c r="AG2">
        <v>0.3</v>
      </c>
      <c r="AI2">
        <v>0.3</v>
      </c>
      <c r="AJ2">
        <v>-12.2</v>
      </c>
      <c r="AK2">
        <v>-6</v>
      </c>
      <c r="AL2">
        <v>-17.7</v>
      </c>
      <c r="AM2" s="1">
        <v>1494</v>
      </c>
      <c r="AN2" s="1">
        <v>1600</v>
      </c>
      <c r="AO2" s="1">
        <v>1706</v>
      </c>
      <c r="AP2" s="1">
        <v>1750</v>
      </c>
      <c r="AQ2" s="1">
        <v>1776</v>
      </c>
      <c r="AR2" s="1">
        <v>1752</v>
      </c>
      <c r="AS2">
        <v>75</v>
      </c>
      <c r="AT2">
        <v>77</v>
      </c>
      <c r="AU2">
        <v>94</v>
      </c>
      <c r="AV2">
        <v>66</v>
      </c>
      <c r="AW2">
        <v>51</v>
      </c>
      <c r="AX2">
        <v>105</v>
      </c>
      <c r="AY2">
        <v>554</v>
      </c>
      <c r="AZ2">
        <v>599</v>
      </c>
      <c r="BA2">
        <v>647</v>
      </c>
      <c r="BB2">
        <v>635</v>
      </c>
      <c r="BC2">
        <v>705</v>
      </c>
      <c r="BD2">
        <v>657</v>
      </c>
      <c r="BE2">
        <v>940</v>
      </c>
      <c r="BF2">
        <v>924</v>
      </c>
      <c r="BG2" s="1">
        <v>965</v>
      </c>
      <c r="BH2">
        <v>1049</v>
      </c>
      <c r="BI2">
        <v>1020</v>
      </c>
      <c r="BJ2" s="1">
        <v>990</v>
      </c>
      <c r="BK2">
        <v>101</v>
      </c>
      <c r="BL2">
        <v>116</v>
      </c>
      <c r="BM2">
        <v>107</v>
      </c>
      <c r="BN2">
        <v>111</v>
      </c>
      <c r="BO2">
        <v>85</v>
      </c>
      <c r="BP2">
        <v>72</v>
      </c>
      <c r="BQ2">
        <v>445</v>
      </c>
      <c r="BR2">
        <v>358</v>
      </c>
      <c r="BS2">
        <v>380</v>
      </c>
      <c r="BT2">
        <v>357</v>
      </c>
      <c r="BU2">
        <v>360</v>
      </c>
      <c r="BV2">
        <v>376</v>
      </c>
      <c r="BW2">
        <v>305</v>
      </c>
      <c r="BX2">
        <v>333</v>
      </c>
      <c r="BY2">
        <v>351</v>
      </c>
      <c r="BZ2">
        <v>442</v>
      </c>
      <c r="CA2">
        <v>419</v>
      </c>
      <c r="CB2">
        <v>398</v>
      </c>
      <c r="CC2">
        <v>89</v>
      </c>
      <c r="CD2">
        <v>117</v>
      </c>
      <c r="CE2">
        <v>127</v>
      </c>
      <c r="CF2">
        <v>139</v>
      </c>
      <c r="CG2">
        <v>156</v>
      </c>
      <c r="CH2">
        <v>144</v>
      </c>
      <c r="CI2">
        <v>83.9</v>
      </c>
      <c r="CJ2">
        <v>87.8</v>
      </c>
      <c r="CK2">
        <v>84</v>
      </c>
      <c r="CL2">
        <v>75.3</v>
      </c>
      <c r="CM2">
        <v>73.900000000000006</v>
      </c>
      <c r="CN2">
        <v>71.900000000000006</v>
      </c>
      <c r="CO2" s="1">
        <v>1287</v>
      </c>
      <c r="CP2" s="1">
        <v>1306</v>
      </c>
      <c r="CQ2" s="1">
        <v>1290</v>
      </c>
      <c r="CR2" s="1">
        <v>1464</v>
      </c>
      <c r="CS2" s="1">
        <v>1464</v>
      </c>
      <c r="CT2" s="1">
        <v>1600</v>
      </c>
      <c r="CU2">
        <v>415</v>
      </c>
      <c r="CV2">
        <v>415</v>
      </c>
      <c r="CW2">
        <v>433</v>
      </c>
      <c r="CX2">
        <v>475</v>
      </c>
      <c r="CY2">
        <v>447</v>
      </c>
      <c r="CZ2">
        <v>406</v>
      </c>
      <c r="DA2">
        <v>79</v>
      </c>
      <c r="DB2">
        <v>82</v>
      </c>
      <c r="DC2">
        <v>92</v>
      </c>
      <c r="DD2">
        <v>86</v>
      </c>
      <c r="DE2">
        <v>96</v>
      </c>
      <c r="DF2">
        <v>84</v>
      </c>
      <c r="DG2">
        <v>126</v>
      </c>
      <c r="DH2">
        <v>154</v>
      </c>
      <c r="DI2">
        <v>156</v>
      </c>
      <c r="DJ2">
        <v>163</v>
      </c>
      <c r="DK2">
        <v>158</v>
      </c>
      <c r="DL2">
        <v>164</v>
      </c>
      <c r="DM2">
        <v>39</v>
      </c>
      <c r="DN2">
        <v>40</v>
      </c>
      <c r="DO2">
        <v>43</v>
      </c>
      <c r="DP2">
        <v>52</v>
      </c>
      <c r="DQ2">
        <v>55</v>
      </c>
      <c r="DR2">
        <v>49</v>
      </c>
      <c r="DS2">
        <v>86</v>
      </c>
      <c r="DT2">
        <v>114</v>
      </c>
      <c r="DU2">
        <v>113</v>
      </c>
      <c r="DV2">
        <v>110</v>
      </c>
      <c r="DW2">
        <v>103</v>
      </c>
      <c r="DX2">
        <v>115</v>
      </c>
      <c r="DY2">
        <v>1</v>
      </c>
      <c r="DZ2" t="s">
        <v>91</v>
      </c>
      <c r="EA2" t="s">
        <v>91</v>
      </c>
      <c r="EB2">
        <v>1</v>
      </c>
      <c r="EC2" t="s">
        <v>91</v>
      </c>
      <c r="ED2" t="s">
        <v>91</v>
      </c>
      <c r="EE2">
        <v>4</v>
      </c>
    </row>
    <row r="3" spans="1:135" x14ac:dyDescent="0.25">
      <c r="A3" t="s">
        <v>232</v>
      </c>
      <c r="C3" s="1">
        <v>5661</v>
      </c>
      <c r="D3" s="1">
        <v>5459</v>
      </c>
      <c r="E3" s="1">
        <v>5371</v>
      </c>
      <c r="F3" s="1">
        <v>5747</v>
      </c>
      <c r="G3" s="1">
        <v>6904</v>
      </c>
      <c r="H3" s="1">
        <v>6334</v>
      </c>
      <c r="I3" s="1">
        <v>1009</v>
      </c>
      <c r="J3">
        <v>1010</v>
      </c>
      <c r="K3">
        <v>1008</v>
      </c>
      <c r="L3">
        <v>851</v>
      </c>
      <c r="M3" s="1">
        <v>1001</v>
      </c>
      <c r="N3" s="1">
        <v>1069</v>
      </c>
      <c r="O3" s="1">
        <v>2327</v>
      </c>
      <c r="P3" s="1">
        <v>2228</v>
      </c>
      <c r="Q3" s="1">
        <v>2190</v>
      </c>
      <c r="R3" s="1">
        <v>2253</v>
      </c>
      <c r="S3" s="1">
        <v>1990</v>
      </c>
      <c r="T3" s="1">
        <v>2001</v>
      </c>
      <c r="U3">
        <v>828</v>
      </c>
      <c r="V3">
        <v>829</v>
      </c>
      <c r="W3">
        <v>816</v>
      </c>
      <c r="X3">
        <v>938</v>
      </c>
      <c r="Y3" s="1">
        <v>925</v>
      </c>
      <c r="Z3" s="1">
        <v>993</v>
      </c>
      <c r="AA3" s="1">
        <v>1497</v>
      </c>
      <c r="AB3" s="1">
        <v>1392</v>
      </c>
      <c r="AC3" s="1">
        <v>1357</v>
      </c>
      <c r="AD3" s="1">
        <v>1705</v>
      </c>
      <c r="AE3" s="1">
        <v>2988</v>
      </c>
      <c r="AF3" s="1">
        <v>2271</v>
      </c>
      <c r="AG3">
        <v>3.7</v>
      </c>
      <c r="AI3">
        <v>5.4</v>
      </c>
      <c r="AJ3">
        <v>-1.5</v>
      </c>
      <c r="AK3">
        <v>-18</v>
      </c>
      <c r="AL3">
        <v>-10.6</v>
      </c>
      <c r="AM3" s="1">
        <v>5175</v>
      </c>
      <c r="AN3" s="1">
        <v>5761</v>
      </c>
      <c r="AO3" s="1">
        <v>6300</v>
      </c>
      <c r="AP3" s="1">
        <v>6816</v>
      </c>
      <c r="AQ3" s="1">
        <v>6434</v>
      </c>
      <c r="AR3" s="1">
        <v>7228</v>
      </c>
      <c r="AS3">
        <v>303</v>
      </c>
      <c r="AT3">
        <v>340</v>
      </c>
      <c r="AU3">
        <v>517</v>
      </c>
      <c r="AV3">
        <v>350</v>
      </c>
      <c r="AW3">
        <v>392</v>
      </c>
      <c r="AX3">
        <v>403</v>
      </c>
      <c r="AY3" s="1">
        <v>2220</v>
      </c>
      <c r="AZ3" s="1">
        <v>2251</v>
      </c>
      <c r="BA3" s="1">
        <v>2479</v>
      </c>
      <c r="BB3" s="1">
        <v>3236</v>
      </c>
      <c r="BC3" s="1">
        <v>3183</v>
      </c>
      <c r="BD3" s="1">
        <v>3940</v>
      </c>
      <c r="BE3" s="1">
        <v>2955</v>
      </c>
      <c r="BF3" s="1">
        <v>3170</v>
      </c>
      <c r="BG3" s="1">
        <v>3304</v>
      </c>
      <c r="BH3" s="1">
        <v>3230</v>
      </c>
      <c r="BI3" s="1">
        <v>2859</v>
      </c>
      <c r="BJ3" s="1">
        <v>2885</v>
      </c>
      <c r="BK3">
        <v>391</v>
      </c>
      <c r="BL3">
        <v>264</v>
      </c>
      <c r="BM3">
        <v>250</v>
      </c>
      <c r="BN3">
        <v>157</v>
      </c>
      <c r="BO3">
        <v>160</v>
      </c>
      <c r="BP3">
        <v>175</v>
      </c>
      <c r="BQ3" s="1">
        <v>1205</v>
      </c>
      <c r="BR3" s="1">
        <v>1201</v>
      </c>
      <c r="BS3">
        <v>1314</v>
      </c>
      <c r="BT3">
        <v>1085</v>
      </c>
      <c r="BU3">
        <v>794</v>
      </c>
      <c r="BV3" s="1">
        <v>843</v>
      </c>
      <c r="BW3">
        <v>591</v>
      </c>
      <c r="BX3">
        <v>599</v>
      </c>
      <c r="BY3">
        <v>574</v>
      </c>
      <c r="BZ3">
        <v>564</v>
      </c>
      <c r="CA3">
        <v>689</v>
      </c>
      <c r="CB3">
        <v>397</v>
      </c>
      <c r="CC3">
        <v>768</v>
      </c>
      <c r="CD3" s="1">
        <v>1106</v>
      </c>
      <c r="CE3" s="1">
        <v>1166</v>
      </c>
      <c r="CF3" s="1">
        <v>1424</v>
      </c>
      <c r="CG3" s="1">
        <v>1216</v>
      </c>
      <c r="CH3" s="1">
        <v>1470</v>
      </c>
      <c r="CI3">
        <v>55.1</v>
      </c>
      <c r="CJ3">
        <v>54.9</v>
      </c>
      <c r="CK3">
        <v>53.3</v>
      </c>
      <c r="CL3">
        <v>64.3</v>
      </c>
      <c r="CM3">
        <v>71.2</v>
      </c>
      <c r="CN3">
        <v>68.099999999999994</v>
      </c>
      <c r="CO3" s="1">
        <v>4873</v>
      </c>
      <c r="CP3" s="1">
        <v>4382</v>
      </c>
      <c r="CQ3" s="1">
        <v>4220</v>
      </c>
      <c r="CR3" s="1">
        <v>5094</v>
      </c>
      <c r="CS3" s="1">
        <v>5981</v>
      </c>
      <c r="CT3" s="1">
        <v>6447</v>
      </c>
      <c r="CU3">
        <v>484</v>
      </c>
      <c r="CV3">
        <v>535</v>
      </c>
      <c r="CW3">
        <v>548</v>
      </c>
      <c r="CX3">
        <v>557</v>
      </c>
      <c r="CY3">
        <v>472</v>
      </c>
      <c r="CZ3">
        <v>485</v>
      </c>
      <c r="DA3">
        <v>117</v>
      </c>
      <c r="DB3">
        <v>143</v>
      </c>
      <c r="DC3">
        <v>170</v>
      </c>
      <c r="DD3">
        <v>255</v>
      </c>
      <c r="DE3">
        <v>185</v>
      </c>
      <c r="DF3">
        <v>112</v>
      </c>
      <c r="DG3">
        <v>218</v>
      </c>
      <c r="DH3">
        <v>270</v>
      </c>
      <c r="DI3">
        <v>277</v>
      </c>
      <c r="DJ3">
        <v>218</v>
      </c>
      <c r="DK3">
        <v>191</v>
      </c>
      <c r="DL3">
        <v>205</v>
      </c>
      <c r="DM3">
        <v>213</v>
      </c>
      <c r="DN3">
        <v>265</v>
      </c>
      <c r="DO3">
        <v>272</v>
      </c>
      <c r="DP3">
        <v>211</v>
      </c>
      <c r="DQ3">
        <v>186</v>
      </c>
      <c r="DR3">
        <v>200</v>
      </c>
      <c r="DS3">
        <v>5</v>
      </c>
      <c r="DT3">
        <v>5</v>
      </c>
      <c r="DU3">
        <v>5</v>
      </c>
      <c r="DV3">
        <v>7</v>
      </c>
      <c r="DW3">
        <v>5</v>
      </c>
      <c r="DX3">
        <v>5</v>
      </c>
      <c r="DY3" t="s">
        <v>91</v>
      </c>
      <c r="DZ3" t="s">
        <v>91</v>
      </c>
      <c r="EA3" t="s">
        <v>91</v>
      </c>
      <c r="EB3" t="s">
        <v>91</v>
      </c>
      <c r="EC3" t="s">
        <v>91</v>
      </c>
      <c r="ED3" t="s">
        <v>91</v>
      </c>
      <c r="EE3">
        <v>6</v>
      </c>
    </row>
    <row r="4" spans="1:135" x14ac:dyDescent="0.25">
      <c r="A4" t="s">
        <v>233</v>
      </c>
      <c r="C4" s="1">
        <v>3722</v>
      </c>
      <c r="D4" s="1">
        <v>3885</v>
      </c>
      <c r="E4" s="1">
        <v>3951</v>
      </c>
      <c r="F4" s="1">
        <v>3750</v>
      </c>
      <c r="G4" s="1">
        <v>4054</v>
      </c>
      <c r="H4" s="1">
        <v>3924</v>
      </c>
      <c r="I4" s="1">
        <v>1082</v>
      </c>
      <c r="J4" s="1">
        <v>1127</v>
      </c>
      <c r="K4">
        <v>1121</v>
      </c>
      <c r="L4" s="1">
        <v>900</v>
      </c>
      <c r="M4" s="1">
        <v>1096</v>
      </c>
      <c r="N4" s="1">
        <v>1133</v>
      </c>
      <c r="O4" s="1">
        <v>1461</v>
      </c>
      <c r="P4" s="1">
        <v>1608</v>
      </c>
      <c r="Q4" s="1">
        <v>1593</v>
      </c>
      <c r="R4" s="1">
        <v>1389</v>
      </c>
      <c r="S4" s="1">
        <v>1487</v>
      </c>
      <c r="T4" s="1">
        <v>1426</v>
      </c>
      <c r="U4">
        <v>721</v>
      </c>
      <c r="V4">
        <v>675</v>
      </c>
      <c r="W4">
        <v>695</v>
      </c>
      <c r="X4">
        <v>807</v>
      </c>
      <c r="Y4">
        <v>870</v>
      </c>
      <c r="Z4">
        <v>700</v>
      </c>
      <c r="AA4">
        <v>458</v>
      </c>
      <c r="AB4">
        <v>475</v>
      </c>
      <c r="AC4">
        <v>542</v>
      </c>
      <c r="AD4">
        <v>654</v>
      </c>
      <c r="AE4">
        <v>601</v>
      </c>
      <c r="AF4">
        <v>665</v>
      </c>
      <c r="AG4">
        <v>-4.2</v>
      </c>
      <c r="AI4">
        <v>-5.8</v>
      </c>
      <c r="AJ4">
        <v>-0.8</v>
      </c>
      <c r="AK4">
        <v>-8.1999999999999993</v>
      </c>
      <c r="AL4">
        <v>-5.2</v>
      </c>
      <c r="AM4" s="1">
        <v>4158</v>
      </c>
      <c r="AN4" s="1">
        <v>4252</v>
      </c>
      <c r="AO4" s="1">
        <v>4235</v>
      </c>
      <c r="AP4" s="1">
        <v>3997</v>
      </c>
      <c r="AQ4" s="1">
        <v>3990</v>
      </c>
      <c r="AR4" s="1">
        <v>4066</v>
      </c>
      <c r="AS4">
        <v>59</v>
      </c>
      <c r="AT4">
        <v>63</v>
      </c>
      <c r="AU4">
        <v>68</v>
      </c>
      <c r="AV4">
        <v>29</v>
      </c>
      <c r="AW4">
        <v>38</v>
      </c>
      <c r="AX4">
        <v>45</v>
      </c>
      <c r="AY4" s="1">
        <v>1577</v>
      </c>
      <c r="AZ4" s="1">
        <v>1752</v>
      </c>
      <c r="BA4" s="1">
        <v>1684</v>
      </c>
      <c r="BB4" s="1">
        <v>1635</v>
      </c>
      <c r="BC4" s="1">
        <v>1652</v>
      </c>
      <c r="BD4" s="1">
        <v>1770</v>
      </c>
      <c r="BE4" s="1">
        <v>2581</v>
      </c>
      <c r="BF4" s="1">
        <v>2437</v>
      </c>
      <c r="BG4" s="1">
        <v>2483</v>
      </c>
      <c r="BH4" s="1">
        <v>2333</v>
      </c>
      <c r="BI4" s="1">
        <v>2300</v>
      </c>
      <c r="BJ4" s="1">
        <v>2251</v>
      </c>
      <c r="BK4">
        <v>521</v>
      </c>
      <c r="BL4">
        <v>314</v>
      </c>
      <c r="BM4">
        <v>313</v>
      </c>
      <c r="BN4">
        <v>317</v>
      </c>
      <c r="BO4">
        <v>341</v>
      </c>
      <c r="BP4">
        <v>363</v>
      </c>
      <c r="BQ4" s="1">
        <v>1004</v>
      </c>
      <c r="BR4">
        <v>942</v>
      </c>
      <c r="BS4">
        <v>951</v>
      </c>
      <c r="BT4">
        <v>921</v>
      </c>
      <c r="BU4">
        <v>838</v>
      </c>
      <c r="BV4" s="1">
        <v>932</v>
      </c>
      <c r="BW4">
        <v>630</v>
      </c>
      <c r="BX4">
        <v>679</v>
      </c>
      <c r="BY4">
        <v>691</v>
      </c>
      <c r="BZ4">
        <v>750</v>
      </c>
      <c r="CA4">
        <v>600</v>
      </c>
      <c r="CB4">
        <v>551</v>
      </c>
      <c r="CC4">
        <v>426</v>
      </c>
      <c r="CD4">
        <v>502</v>
      </c>
      <c r="CE4">
        <v>528</v>
      </c>
      <c r="CF4">
        <v>345</v>
      </c>
      <c r="CG4">
        <v>521</v>
      </c>
      <c r="CH4">
        <v>405</v>
      </c>
      <c r="CI4">
        <v>74.3</v>
      </c>
      <c r="CJ4">
        <v>75.5</v>
      </c>
      <c r="CK4">
        <v>74.2</v>
      </c>
      <c r="CL4">
        <v>71.599999999999994</v>
      </c>
      <c r="CM4">
        <v>72.400000000000006</v>
      </c>
      <c r="CN4">
        <v>66.8</v>
      </c>
      <c r="CO4" s="1">
        <v>2434</v>
      </c>
      <c r="CP4" s="1">
        <v>2894</v>
      </c>
      <c r="CQ4" s="1">
        <v>3117</v>
      </c>
      <c r="CR4" s="1">
        <v>3400</v>
      </c>
      <c r="CS4" s="1">
        <v>3771</v>
      </c>
      <c r="CT4" s="1">
        <v>3699</v>
      </c>
      <c r="CU4">
        <v>442</v>
      </c>
      <c r="CV4">
        <v>428</v>
      </c>
      <c r="CW4">
        <v>446</v>
      </c>
      <c r="CX4">
        <v>418</v>
      </c>
      <c r="CY4">
        <v>418</v>
      </c>
      <c r="CZ4">
        <v>423</v>
      </c>
      <c r="DA4">
        <v>113</v>
      </c>
      <c r="DB4">
        <v>147</v>
      </c>
      <c r="DC4">
        <v>138</v>
      </c>
      <c r="DD4">
        <v>145</v>
      </c>
      <c r="DE4">
        <v>146</v>
      </c>
      <c r="DF4">
        <v>194</v>
      </c>
      <c r="DG4">
        <v>133</v>
      </c>
      <c r="DH4">
        <v>144</v>
      </c>
      <c r="DI4">
        <v>153</v>
      </c>
      <c r="DJ4">
        <v>143</v>
      </c>
      <c r="DK4">
        <v>149</v>
      </c>
      <c r="DL4">
        <v>136</v>
      </c>
      <c r="DM4">
        <v>79</v>
      </c>
      <c r="DN4">
        <v>81</v>
      </c>
      <c r="DO4">
        <v>85</v>
      </c>
      <c r="DP4">
        <v>88</v>
      </c>
      <c r="DQ4">
        <v>97</v>
      </c>
      <c r="DR4">
        <v>90</v>
      </c>
      <c r="DS4">
        <v>47</v>
      </c>
      <c r="DT4">
        <v>53</v>
      </c>
      <c r="DU4">
        <v>56</v>
      </c>
      <c r="DV4">
        <v>46</v>
      </c>
      <c r="DW4">
        <v>47</v>
      </c>
      <c r="DX4">
        <v>40</v>
      </c>
      <c r="DY4">
        <v>7</v>
      </c>
      <c r="DZ4">
        <v>10</v>
      </c>
      <c r="EA4">
        <v>12</v>
      </c>
      <c r="EB4">
        <v>9</v>
      </c>
      <c r="EC4">
        <v>5</v>
      </c>
      <c r="ED4">
        <v>6</v>
      </c>
      <c r="EE4">
        <v>8</v>
      </c>
    </row>
    <row r="5" spans="1:135" x14ac:dyDescent="0.25">
      <c r="A5" t="s">
        <v>234</v>
      </c>
      <c r="C5" s="1">
        <v>4637</v>
      </c>
      <c r="D5" s="1">
        <v>4784</v>
      </c>
      <c r="E5" s="1">
        <v>4854</v>
      </c>
      <c r="F5" s="1">
        <v>5311</v>
      </c>
      <c r="G5" s="1">
        <v>5185</v>
      </c>
      <c r="H5" s="1">
        <v>4542</v>
      </c>
      <c r="I5" s="1">
        <v>1438</v>
      </c>
      <c r="J5" s="1">
        <v>1429</v>
      </c>
      <c r="K5" s="1">
        <v>1460</v>
      </c>
      <c r="L5" s="1">
        <v>2399</v>
      </c>
      <c r="M5" s="1">
        <v>2401</v>
      </c>
      <c r="N5" s="1">
        <v>1742</v>
      </c>
      <c r="O5" s="1">
        <v>1396</v>
      </c>
      <c r="P5" s="1">
        <v>1390</v>
      </c>
      <c r="Q5" s="1">
        <v>1388</v>
      </c>
      <c r="R5" s="1">
        <v>1369</v>
      </c>
      <c r="S5" s="1">
        <v>1257</v>
      </c>
      <c r="T5" s="1">
        <v>1266</v>
      </c>
      <c r="U5" s="1">
        <v>1526</v>
      </c>
      <c r="V5" s="1">
        <v>1711</v>
      </c>
      <c r="W5" s="1">
        <v>1764</v>
      </c>
      <c r="X5" s="1">
        <v>1240</v>
      </c>
      <c r="Y5" s="1">
        <v>1209</v>
      </c>
      <c r="Z5" s="1">
        <v>1234</v>
      </c>
      <c r="AA5">
        <v>277</v>
      </c>
      <c r="AB5">
        <v>254</v>
      </c>
      <c r="AC5">
        <v>242</v>
      </c>
      <c r="AD5">
        <v>303</v>
      </c>
      <c r="AE5">
        <v>318</v>
      </c>
      <c r="AF5">
        <v>300</v>
      </c>
      <c r="AG5">
        <v>-3.1</v>
      </c>
      <c r="AI5">
        <v>-4.5</v>
      </c>
      <c r="AJ5">
        <v>-12.7</v>
      </c>
      <c r="AK5">
        <v>-10.6</v>
      </c>
      <c r="AL5">
        <v>2.1</v>
      </c>
      <c r="AM5" s="1">
        <v>5165</v>
      </c>
      <c r="AN5" s="1">
        <v>4757</v>
      </c>
      <c r="AO5" s="1">
        <v>4951</v>
      </c>
      <c r="AP5" s="1">
        <v>5282</v>
      </c>
      <c r="AQ5" s="1">
        <v>4671</v>
      </c>
      <c r="AR5" s="1">
        <v>4900</v>
      </c>
      <c r="AS5">
        <v>183</v>
      </c>
      <c r="AT5">
        <v>123</v>
      </c>
      <c r="AU5">
        <v>128</v>
      </c>
      <c r="AV5">
        <v>169</v>
      </c>
      <c r="AW5">
        <v>174</v>
      </c>
      <c r="AX5">
        <v>243</v>
      </c>
      <c r="AY5" s="1">
        <v>1599</v>
      </c>
      <c r="AZ5" s="1">
        <v>1816</v>
      </c>
      <c r="BA5" s="1">
        <v>1929</v>
      </c>
      <c r="BB5" s="1">
        <v>2187</v>
      </c>
      <c r="BC5" s="1">
        <v>1916</v>
      </c>
      <c r="BD5" s="1">
        <v>1916</v>
      </c>
      <c r="BE5" s="1">
        <v>3566</v>
      </c>
      <c r="BF5" s="1">
        <v>2818</v>
      </c>
      <c r="BG5" s="1">
        <v>2894</v>
      </c>
      <c r="BH5" s="1">
        <v>2926</v>
      </c>
      <c r="BI5" s="1">
        <v>2581</v>
      </c>
      <c r="BJ5" s="1">
        <v>2741</v>
      </c>
      <c r="BK5">
        <v>609</v>
      </c>
      <c r="BL5">
        <v>434</v>
      </c>
      <c r="BM5">
        <v>614</v>
      </c>
      <c r="BN5">
        <v>986</v>
      </c>
      <c r="BO5">
        <v>641</v>
      </c>
      <c r="BP5">
        <v>600</v>
      </c>
      <c r="BQ5">
        <v>1072</v>
      </c>
      <c r="BR5">
        <v>848</v>
      </c>
      <c r="BS5">
        <v>859</v>
      </c>
      <c r="BT5">
        <v>846</v>
      </c>
      <c r="BU5">
        <v>801</v>
      </c>
      <c r="BV5" s="1">
        <v>857</v>
      </c>
      <c r="BW5" s="1">
        <v>1727</v>
      </c>
      <c r="BX5" s="1">
        <v>1366</v>
      </c>
      <c r="BY5">
        <v>1228</v>
      </c>
      <c r="BZ5" s="1">
        <v>881</v>
      </c>
      <c r="CA5">
        <v>917</v>
      </c>
      <c r="CB5" s="1">
        <v>1017</v>
      </c>
      <c r="CC5">
        <v>158</v>
      </c>
      <c r="CD5">
        <v>170</v>
      </c>
      <c r="CE5">
        <v>193</v>
      </c>
      <c r="CF5">
        <v>213</v>
      </c>
      <c r="CG5">
        <v>222</v>
      </c>
      <c r="CH5">
        <v>267</v>
      </c>
      <c r="CI5">
        <v>87.1</v>
      </c>
      <c r="CJ5">
        <v>90.1</v>
      </c>
      <c r="CK5">
        <v>89.4</v>
      </c>
      <c r="CL5">
        <v>89.9</v>
      </c>
      <c r="CM5">
        <v>84.6</v>
      </c>
      <c r="CN5">
        <v>89.3</v>
      </c>
      <c r="CO5" s="1">
        <v>2577</v>
      </c>
      <c r="CP5" s="1">
        <v>3104</v>
      </c>
      <c r="CQ5" s="1">
        <v>3231</v>
      </c>
      <c r="CR5" s="1">
        <v>3343</v>
      </c>
      <c r="CS5" s="1">
        <v>3310</v>
      </c>
      <c r="CT5" s="1">
        <v>2793</v>
      </c>
      <c r="CU5">
        <v>755</v>
      </c>
      <c r="CV5">
        <v>644</v>
      </c>
      <c r="CW5">
        <v>712</v>
      </c>
      <c r="CX5">
        <v>778</v>
      </c>
      <c r="CY5">
        <v>652</v>
      </c>
      <c r="CZ5">
        <v>706</v>
      </c>
      <c r="DA5">
        <v>182</v>
      </c>
      <c r="DB5">
        <v>206</v>
      </c>
      <c r="DC5">
        <v>248</v>
      </c>
      <c r="DD5">
        <v>250</v>
      </c>
      <c r="DE5">
        <v>214</v>
      </c>
      <c r="DF5">
        <v>287</v>
      </c>
      <c r="DG5">
        <v>250</v>
      </c>
      <c r="DH5">
        <v>224</v>
      </c>
      <c r="DI5">
        <v>241</v>
      </c>
      <c r="DJ5">
        <v>270</v>
      </c>
      <c r="DK5">
        <v>234</v>
      </c>
      <c r="DL5">
        <v>243</v>
      </c>
      <c r="DM5">
        <v>48</v>
      </c>
      <c r="DN5">
        <v>45</v>
      </c>
      <c r="DO5">
        <v>46</v>
      </c>
      <c r="DP5">
        <v>41</v>
      </c>
      <c r="DQ5">
        <v>44</v>
      </c>
      <c r="DR5">
        <v>41</v>
      </c>
      <c r="DS5">
        <v>202</v>
      </c>
      <c r="DT5">
        <v>179</v>
      </c>
      <c r="DU5">
        <v>195</v>
      </c>
      <c r="DV5">
        <v>229</v>
      </c>
      <c r="DW5">
        <v>190</v>
      </c>
      <c r="DX5">
        <v>202</v>
      </c>
      <c r="DY5" t="s">
        <v>91</v>
      </c>
      <c r="DZ5" t="s">
        <v>91</v>
      </c>
      <c r="EA5" t="s">
        <v>91</v>
      </c>
      <c r="EB5" t="s">
        <v>91</v>
      </c>
      <c r="EC5" t="s">
        <v>91</v>
      </c>
      <c r="ED5" t="s">
        <v>91</v>
      </c>
      <c r="EE5">
        <v>10</v>
      </c>
    </row>
    <row r="6" spans="1:135" x14ac:dyDescent="0.25">
      <c r="A6" t="s">
        <v>235</v>
      </c>
      <c r="C6" s="1">
        <v>7413</v>
      </c>
      <c r="D6" s="1">
        <v>7512</v>
      </c>
      <c r="E6" s="1">
        <v>7462</v>
      </c>
      <c r="F6" s="1">
        <v>7246</v>
      </c>
      <c r="G6" s="1">
        <v>7667</v>
      </c>
      <c r="H6" s="1">
        <v>8055</v>
      </c>
      <c r="I6" s="1">
        <v>2281</v>
      </c>
      <c r="J6" s="1">
        <v>2365</v>
      </c>
      <c r="K6" s="1">
        <v>2317</v>
      </c>
      <c r="L6" s="1">
        <v>2244</v>
      </c>
      <c r="M6" s="1">
        <v>2330</v>
      </c>
      <c r="N6" s="1">
        <v>2580</v>
      </c>
      <c r="O6" s="1">
        <v>2192</v>
      </c>
      <c r="P6" s="1">
        <v>2162</v>
      </c>
      <c r="Q6" s="1">
        <v>2145</v>
      </c>
      <c r="R6" s="1">
        <v>1986</v>
      </c>
      <c r="S6" s="1">
        <v>2160</v>
      </c>
      <c r="T6" s="1">
        <v>2386</v>
      </c>
      <c r="U6" s="1">
        <v>2510</v>
      </c>
      <c r="V6" s="1">
        <v>2448</v>
      </c>
      <c r="W6" s="1">
        <v>2438</v>
      </c>
      <c r="X6" s="1">
        <v>2524</v>
      </c>
      <c r="Y6" s="1">
        <v>2535</v>
      </c>
      <c r="Z6" s="1">
        <v>2547</v>
      </c>
      <c r="AA6">
        <v>430</v>
      </c>
      <c r="AB6">
        <v>537</v>
      </c>
      <c r="AC6">
        <v>562</v>
      </c>
      <c r="AD6">
        <v>492</v>
      </c>
      <c r="AE6">
        <v>642</v>
      </c>
      <c r="AF6">
        <v>542</v>
      </c>
      <c r="AG6">
        <v>-1.3</v>
      </c>
      <c r="AI6">
        <v>-0.7</v>
      </c>
      <c r="AJ6">
        <v>2.2999999999999998</v>
      </c>
      <c r="AK6">
        <v>-3.3</v>
      </c>
      <c r="AL6">
        <v>-8</v>
      </c>
      <c r="AM6" s="1">
        <v>7634</v>
      </c>
      <c r="AN6" s="1">
        <v>7529</v>
      </c>
      <c r="AO6" s="1">
        <v>7624</v>
      </c>
      <c r="AP6" s="1">
        <v>7355</v>
      </c>
      <c r="AQ6" s="1">
        <v>8086</v>
      </c>
      <c r="AR6" s="1">
        <v>9578</v>
      </c>
      <c r="AS6">
        <v>261</v>
      </c>
      <c r="AT6">
        <v>118</v>
      </c>
      <c r="AU6">
        <v>122</v>
      </c>
      <c r="AV6">
        <v>123</v>
      </c>
      <c r="AW6">
        <v>102</v>
      </c>
      <c r="AX6">
        <v>153</v>
      </c>
      <c r="AY6" s="1">
        <v>3532</v>
      </c>
      <c r="AZ6" s="1">
        <v>3625</v>
      </c>
      <c r="BA6" s="1">
        <v>3729</v>
      </c>
      <c r="BB6" s="1">
        <v>3643</v>
      </c>
      <c r="BC6" s="1">
        <v>3863</v>
      </c>
      <c r="BD6" s="1">
        <v>4448</v>
      </c>
      <c r="BE6" s="1">
        <v>4102</v>
      </c>
      <c r="BF6" s="1">
        <v>3786</v>
      </c>
      <c r="BG6" s="1">
        <v>3773</v>
      </c>
      <c r="BH6" s="1">
        <v>3589</v>
      </c>
      <c r="BI6" s="1">
        <v>4121</v>
      </c>
      <c r="BJ6" s="1">
        <v>4977</v>
      </c>
      <c r="BK6">
        <v>679</v>
      </c>
      <c r="BL6">
        <v>451</v>
      </c>
      <c r="BM6">
        <v>509</v>
      </c>
      <c r="BN6">
        <v>429</v>
      </c>
      <c r="BO6">
        <v>521</v>
      </c>
      <c r="BP6">
        <v>520</v>
      </c>
      <c r="BQ6" s="1">
        <v>1328</v>
      </c>
      <c r="BR6" s="1">
        <v>1176</v>
      </c>
      <c r="BS6" s="1">
        <v>1161</v>
      </c>
      <c r="BT6" s="1">
        <v>1265</v>
      </c>
      <c r="BU6" s="1">
        <v>1381</v>
      </c>
      <c r="BV6" s="1">
        <v>1340</v>
      </c>
      <c r="BW6" s="1">
        <v>1897</v>
      </c>
      <c r="BX6" s="1">
        <v>1918</v>
      </c>
      <c r="BY6" s="1">
        <v>1838</v>
      </c>
      <c r="BZ6" s="1">
        <v>1635</v>
      </c>
      <c r="CA6" s="1">
        <v>1980</v>
      </c>
      <c r="CB6" s="1">
        <v>2784</v>
      </c>
      <c r="CC6">
        <v>198</v>
      </c>
      <c r="CD6">
        <v>241</v>
      </c>
      <c r="CE6">
        <v>265</v>
      </c>
      <c r="CF6">
        <v>260</v>
      </c>
      <c r="CG6">
        <v>239</v>
      </c>
      <c r="CH6">
        <v>333</v>
      </c>
      <c r="CI6">
        <v>78.099999999999994</v>
      </c>
      <c r="CJ6">
        <v>87.7</v>
      </c>
      <c r="CK6">
        <v>89.4</v>
      </c>
      <c r="CL6">
        <v>87.2</v>
      </c>
      <c r="CM6">
        <v>86.1</v>
      </c>
      <c r="CN6">
        <v>87.1</v>
      </c>
      <c r="CO6" s="1">
        <v>4464</v>
      </c>
      <c r="CP6" s="1">
        <v>4689</v>
      </c>
      <c r="CQ6" s="1">
        <v>4767</v>
      </c>
      <c r="CR6" s="1">
        <v>4929</v>
      </c>
      <c r="CS6" s="1">
        <v>5051</v>
      </c>
      <c r="CT6" s="1">
        <v>5470</v>
      </c>
      <c r="CU6">
        <v>640</v>
      </c>
      <c r="CV6">
        <v>632</v>
      </c>
      <c r="CW6">
        <v>636</v>
      </c>
      <c r="CX6">
        <v>559</v>
      </c>
      <c r="CY6">
        <v>674</v>
      </c>
      <c r="CZ6">
        <v>876</v>
      </c>
      <c r="DA6">
        <v>157</v>
      </c>
      <c r="DB6">
        <v>172</v>
      </c>
      <c r="DC6">
        <v>173</v>
      </c>
      <c r="DD6">
        <v>163</v>
      </c>
      <c r="DE6">
        <v>168</v>
      </c>
      <c r="DF6">
        <v>223</v>
      </c>
      <c r="DG6">
        <v>195</v>
      </c>
      <c r="DH6">
        <v>201</v>
      </c>
      <c r="DI6">
        <v>198</v>
      </c>
      <c r="DJ6">
        <v>176</v>
      </c>
      <c r="DK6">
        <v>217</v>
      </c>
      <c r="DL6">
        <v>289</v>
      </c>
      <c r="DM6">
        <v>21</v>
      </c>
      <c r="DN6">
        <v>24</v>
      </c>
      <c r="DO6">
        <v>25</v>
      </c>
      <c r="DP6">
        <v>23</v>
      </c>
      <c r="DQ6">
        <v>28</v>
      </c>
      <c r="DR6">
        <v>32</v>
      </c>
      <c r="DS6">
        <v>173</v>
      </c>
      <c r="DT6">
        <v>176</v>
      </c>
      <c r="DU6">
        <v>173</v>
      </c>
      <c r="DV6">
        <v>152</v>
      </c>
      <c r="DW6">
        <v>188</v>
      </c>
      <c r="DX6">
        <v>256</v>
      </c>
      <c r="DY6">
        <v>1</v>
      </c>
      <c r="DZ6">
        <v>1</v>
      </c>
      <c r="EA6" t="s">
        <v>91</v>
      </c>
      <c r="EB6">
        <v>1</v>
      </c>
      <c r="EC6">
        <v>1</v>
      </c>
      <c r="ED6">
        <v>1</v>
      </c>
      <c r="EE6">
        <v>12</v>
      </c>
    </row>
    <row r="7" spans="1:135" x14ac:dyDescent="0.25">
      <c r="A7" t="s">
        <v>236</v>
      </c>
      <c r="C7" s="1">
        <v>4734</v>
      </c>
      <c r="D7" s="1">
        <v>4983</v>
      </c>
      <c r="E7" s="1">
        <v>4954</v>
      </c>
      <c r="F7" s="1">
        <v>4859</v>
      </c>
      <c r="G7" s="1">
        <v>4853</v>
      </c>
      <c r="H7" s="1">
        <v>4818</v>
      </c>
      <c r="I7" s="1">
        <v>1471</v>
      </c>
      <c r="J7" s="1">
        <v>1513</v>
      </c>
      <c r="K7" s="1">
        <v>1543</v>
      </c>
      <c r="L7" s="1">
        <v>1420</v>
      </c>
      <c r="M7" s="1">
        <v>1357</v>
      </c>
      <c r="N7" s="1">
        <v>1321</v>
      </c>
      <c r="O7" s="1">
        <v>1758</v>
      </c>
      <c r="P7" s="1">
        <v>1871</v>
      </c>
      <c r="Q7" s="1">
        <v>1867</v>
      </c>
      <c r="R7" s="1">
        <v>1763</v>
      </c>
      <c r="S7" s="1">
        <v>1904</v>
      </c>
      <c r="T7" s="1">
        <v>1906</v>
      </c>
      <c r="U7" s="1">
        <v>1172</v>
      </c>
      <c r="V7" s="1">
        <v>1199</v>
      </c>
      <c r="W7" s="1">
        <v>1146</v>
      </c>
      <c r="X7" s="1">
        <v>1255</v>
      </c>
      <c r="Y7" s="1">
        <v>1168</v>
      </c>
      <c r="Z7" s="1">
        <v>1196</v>
      </c>
      <c r="AA7">
        <v>333</v>
      </c>
      <c r="AB7">
        <v>400</v>
      </c>
      <c r="AC7">
        <v>398</v>
      </c>
      <c r="AD7">
        <v>421</v>
      </c>
      <c r="AE7">
        <v>424</v>
      </c>
      <c r="AF7">
        <v>395</v>
      </c>
      <c r="AG7">
        <v>-5</v>
      </c>
      <c r="AI7">
        <v>-4.5</v>
      </c>
      <c r="AJ7">
        <v>-2.6</v>
      </c>
      <c r="AK7">
        <v>-2.5</v>
      </c>
      <c r="AL7">
        <v>-1.8</v>
      </c>
      <c r="AM7" s="1">
        <v>5281</v>
      </c>
      <c r="AN7" s="1">
        <v>4324</v>
      </c>
      <c r="AO7" s="1">
        <v>4440</v>
      </c>
      <c r="AP7" s="1">
        <v>4812</v>
      </c>
      <c r="AQ7" s="1">
        <v>4781</v>
      </c>
      <c r="AR7" s="1">
        <v>4962</v>
      </c>
      <c r="AS7">
        <v>182</v>
      </c>
      <c r="AT7">
        <v>146</v>
      </c>
      <c r="AU7">
        <v>163</v>
      </c>
      <c r="AV7">
        <v>221</v>
      </c>
      <c r="AW7">
        <v>216</v>
      </c>
      <c r="AX7">
        <v>238</v>
      </c>
      <c r="AY7" s="1">
        <v>2203</v>
      </c>
      <c r="AZ7" s="1">
        <v>1965</v>
      </c>
      <c r="BA7" s="1">
        <v>1927</v>
      </c>
      <c r="BB7" s="1">
        <v>2223</v>
      </c>
      <c r="BC7" s="1">
        <v>1996</v>
      </c>
      <c r="BD7" s="1">
        <v>2009</v>
      </c>
      <c r="BE7" s="1">
        <v>3078</v>
      </c>
      <c r="BF7" s="1">
        <v>2213</v>
      </c>
      <c r="BG7" s="1">
        <v>2350</v>
      </c>
      <c r="BH7" s="1">
        <v>2368</v>
      </c>
      <c r="BI7" s="1">
        <v>2569</v>
      </c>
      <c r="BJ7" s="1">
        <v>2715</v>
      </c>
      <c r="BK7">
        <v>591</v>
      </c>
      <c r="BL7">
        <v>407</v>
      </c>
      <c r="BM7">
        <v>441</v>
      </c>
      <c r="BN7">
        <v>381</v>
      </c>
      <c r="BO7">
        <v>400</v>
      </c>
      <c r="BP7">
        <v>416</v>
      </c>
      <c r="BQ7">
        <v>1119</v>
      </c>
      <c r="BR7">
        <v>838</v>
      </c>
      <c r="BS7" s="1">
        <v>928</v>
      </c>
      <c r="BT7" s="1">
        <v>981</v>
      </c>
      <c r="BU7" s="1">
        <v>1113</v>
      </c>
      <c r="BV7" s="1">
        <v>1195</v>
      </c>
      <c r="BW7">
        <v>1107</v>
      </c>
      <c r="BX7">
        <v>758</v>
      </c>
      <c r="BY7">
        <v>761</v>
      </c>
      <c r="BZ7">
        <v>720</v>
      </c>
      <c r="CA7">
        <v>765</v>
      </c>
      <c r="CB7">
        <v>818</v>
      </c>
      <c r="CC7">
        <v>261</v>
      </c>
      <c r="CD7">
        <v>210</v>
      </c>
      <c r="CE7">
        <v>220</v>
      </c>
      <c r="CF7">
        <v>286</v>
      </c>
      <c r="CG7">
        <v>291</v>
      </c>
      <c r="CH7">
        <v>286</v>
      </c>
      <c r="CI7">
        <v>60.8</v>
      </c>
      <c r="CJ7">
        <v>65.2</v>
      </c>
      <c r="CK7">
        <v>65.900000000000006</v>
      </c>
      <c r="CL7">
        <v>69.3</v>
      </c>
      <c r="CM7">
        <v>68.3</v>
      </c>
      <c r="CN7">
        <v>66</v>
      </c>
      <c r="CO7" s="1">
        <v>4769</v>
      </c>
      <c r="CP7" s="1">
        <v>5309</v>
      </c>
      <c r="CQ7" s="1">
        <v>5109</v>
      </c>
      <c r="CR7" s="1">
        <v>4497</v>
      </c>
      <c r="CS7" s="1">
        <v>4445</v>
      </c>
      <c r="CT7" s="1">
        <v>4371</v>
      </c>
      <c r="CU7">
        <v>401</v>
      </c>
      <c r="CV7">
        <v>293</v>
      </c>
      <c r="CW7">
        <v>310</v>
      </c>
      <c r="CX7">
        <v>326</v>
      </c>
      <c r="CY7">
        <v>377</v>
      </c>
      <c r="CZ7">
        <v>383</v>
      </c>
      <c r="DA7">
        <v>89</v>
      </c>
      <c r="DB7">
        <v>75</v>
      </c>
      <c r="DC7">
        <v>70</v>
      </c>
      <c r="DD7">
        <v>87</v>
      </c>
      <c r="DE7">
        <v>84</v>
      </c>
      <c r="DF7">
        <v>86</v>
      </c>
      <c r="DG7">
        <v>127</v>
      </c>
      <c r="DH7">
        <v>97</v>
      </c>
      <c r="DI7">
        <v>103</v>
      </c>
      <c r="DJ7">
        <v>123</v>
      </c>
      <c r="DK7">
        <v>151</v>
      </c>
      <c r="DL7">
        <v>145</v>
      </c>
      <c r="DM7">
        <v>50</v>
      </c>
      <c r="DN7">
        <v>51</v>
      </c>
      <c r="DO7">
        <v>51</v>
      </c>
      <c r="DP7">
        <v>55</v>
      </c>
      <c r="DQ7">
        <v>53</v>
      </c>
      <c r="DR7">
        <v>55</v>
      </c>
      <c r="DS7">
        <v>76</v>
      </c>
      <c r="DT7">
        <v>46</v>
      </c>
      <c r="DU7">
        <v>52</v>
      </c>
      <c r="DV7">
        <v>68</v>
      </c>
      <c r="DW7">
        <v>96</v>
      </c>
      <c r="DX7">
        <v>88</v>
      </c>
      <c r="DY7">
        <v>1</v>
      </c>
      <c r="DZ7" t="s">
        <v>91</v>
      </c>
      <c r="EA7" t="s">
        <v>91</v>
      </c>
      <c r="EB7" t="s">
        <v>91</v>
      </c>
      <c r="EC7">
        <v>2</v>
      </c>
      <c r="ED7">
        <v>2</v>
      </c>
      <c r="EE7">
        <v>14</v>
      </c>
    </row>
    <row r="8" spans="1:135" x14ac:dyDescent="0.25">
      <c r="A8" t="s">
        <v>237</v>
      </c>
      <c r="C8" s="1">
        <v>3005</v>
      </c>
      <c r="D8" s="1">
        <v>3098</v>
      </c>
      <c r="E8" s="1">
        <v>3124</v>
      </c>
      <c r="F8" s="1">
        <v>3337</v>
      </c>
      <c r="G8" s="1">
        <v>3307</v>
      </c>
      <c r="H8" s="1">
        <v>3227</v>
      </c>
      <c r="I8">
        <v>957</v>
      </c>
      <c r="J8" s="1">
        <v>1033</v>
      </c>
      <c r="K8" s="1">
        <v>1115</v>
      </c>
      <c r="L8" s="1">
        <v>1214</v>
      </c>
      <c r="M8" s="1">
        <v>1152</v>
      </c>
      <c r="N8" s="1">
        <v>1075</v>
      </c>
      <c r="O8" s="1">
        <v>1259</v>
      </c>
      <c r="P8" s="1">
        <v>1272</v>
      </c>
      <c r="Q8" s="1">
        <v>1232</v>
      </c>
      <c r="R8" s="1">
        <v>1323</v>
      </c>
      <c r="S8" s="1">
        <v>1168</v>
      </c>
      <c r="T8" s="1">
        <v>1246</v>
      </c>
      <c r="U8">
        <v>643</v>
      </c>
      <c r="V8">
        <v>624</v>
      </c>
      <c r="W8">
        <v>604</v>
      </c>
      <c r="X8">
        <v>640</v>
      </c>
      <c r="Y8">
        <v>735</v>
      </c>
      <c r="Z8">
        <v>697</v>
      </c>
      <c r="AA8">
        <v>146</v>
      </c>
      <c r="AB8">
        <v>169</v>
      </c>
      <c r="AC8">
        <v>173</v>
      </c>
      <c r="AD8">
        <v>160</v>
      </c>
      <c r="AE8">
        <v>252</v>
      </c>
      <c r="AF8">
        <v>209</v>
      </c>
      <c r="AG8">
        <v>-3</v>
      </c>
      <c r="AI8">
        <v>-3.8</v>
      </c>
      <c r="AJ8">
        <v>-10</v>
      </c>
      <c r="AK8">
        <v>-9.1</v>
      </c>
      <c r="AL8">
        <v>-6.9</v>
      </c>
      <c r="AM8" s="1">
        <v>2987</v>
      </c>
      <c r="AN8" s="1">
        <v>3336</v>
      </c>
      <c r="AO8" s="1">
        <v>3398</v>
      </c>
      <c r="AP8" s="1">
        <v>3435</v>
      </c>
      <c r="AQ8" s="1">
        <v>3281</v>
      </c>
      <c r="AR8" s="1">
        <v>3280</v>
      </c>
      <c r="AS8">
        <v>190</v>
      </c>
      <c r="AT8">
        <v>178</v>
      </c>
      <c r="AU8">
        <v>191</v>
      </c>
      <c r="AV8">
        <v>193</v>
      </c>
      <c r="AW8">
        <v>257</v>
      </c>
      <c r="AX8">
        <v>175</v>
      </c>
      <c r="AY8" s="1">
        <v>1434</v>
      </c>
      <c r="AZ8" s="1">
        <v>1679</v>
      </c>
      <c r="BA8" s="1">
        <v>1695</v>
      </c>
      <c r="BB8" s="1">
        <v>1601</v>
      </c>
      <c r="BC8" s="1">
        <v>1686</v>
      </c>
      <c r="BD8" s="1">
        <v>1638</v>
      </c>
      <c r="BE8" s="1">
        <v>1553</v>
      </c>
      <c r="BF8" s="1">
        <v>1479</v>
      </c>
      <c r="BG8" s="1">
        <v>1512</v>
      </c>
      <c r="BH8" s="1">
        <v>1641</v>
      </c>
      <c r="BI8" s="1">
        <v>1338</v>
      </c>
      <c r="BJ8" s="1">
        <v>1467</v>
      </c>
      <c r="BK8">
        <v>232</v>
      </c>
      <c r="BL8">
        <v>231</v>
      </c>
      <c r="BM8">
        <v>282</v>
      </c>
      <c r="BN8">
        <v>363</v>
      </c>
      <c r="BO8">
        <v>219</v>
      </c>
      <c r="BP8">
        <v>201</v>
      </c>
      <c r="BQ8">
        <v>773</v>
      </c>
      <c r="BR8">
        <v>632</v>
      </c>
      <c r="BS8">
        <v>632</v>
      </c>
      <c r="BT8">
        <v>696</v>
      </c>
      <c r="BU8">
        <v>568</v>
      </c>
      <c r="BV8">
        <v>587</v>
      </c>
      <c r="BW8">
        <v>457</v>
      </c>
      <c r="BX8">
        <v>501</v>
      </c>
      <c r="BY8">
        <v>482</v>
      </c>
      <c r="BZ8">
        <v>462</v>
      </c>
      <c r="CA8">
        <v>433</v>
      </c>
      <c r="CB8">
        <v>498</v>
      </c>
      <c r="CC8">
        <v>91</v>
      </c>
      <c r="CD8">
        <v>115</v>
      </c>
      <c r="CE8">
        <v>116</v>
      </c>
      <c r="CF8">
        <v>120</v>
      </c>
      <c r="CG8">
        <v>118</v>
      </c>
      <c r="CH8">
        <v>181</v>
      </c>
      <c r="CI8">
        <v>63.3</v>
      </c>
      <c r="CJ8">
        <v>71.8</v>
      </c>
      <c r="CK8">
        <v>72.8</v>
      </c>
      <c r="CL8">
        <v>76.3</v>
      </c>
      <c r="CM8">
        <v>81.099999999999994</v>
      </c>
      <c r="CN8">
        <v>86.5</v>
      </c>
      <c r="CO8" s="1">
        <v>1930</v>
      </c>
      <c r="CP8" s="1">
        <v>1913</v>
      </c>
      <c r="CQ8" s="1">
        <v>1885</v>
      </c>
      <c r="CR8" s="1">
        <v>2174</v>
      </c>
      <c r="CS8" s="1">
        <v>2273</v>
      </c>
      <c r="CT8" s="1">
        <v>2247</v>
      </c>
      <c r="CU8">
        <v>332</v>
      </c>
      <c r="CV8">
        <v>319</v>
      </c>
      <c r="CW8">
        <v>337</v>
      </c>
      <c r="CX8">
        <v>377</v>
      </c>
      <c r="CY8">
        <v>316</v>
      </c>
      <c r="CZ8">
        <v>346</v>
      </c>
      <c r="DA8">
        <v>85</v>
      </c>
      <c r="DB8">
        <v>106</v>
      </c>
      <c r="DC8">
        <v>115</v>
      </c>
      <c r="DD8">
        <v>104</v>
      </c>
      <c r="DE8">
        <v>118</v>
      </c>
      <c r="DF8">
        <v>123</v>
      </c>
      <c r="DG8">
        <v>99</v>
      </c>
      <c r="DH8">
        <v>107</v>
      </c>
      <c r="DI8">
        <v>112</v>
      </c>
      <c r="DJ8">
        <v>128</v>
      </c>
      <c r="DK8">
        <v>105</v>
      </c>
      <c r="DL8">
        <v>117</v>
      </c>
      <c r="DM8">
        <v>45</v>
      </c>
      <c r="DN8">
        <v>44</v>
      </c>
      <c r="DO8">
        <v>45</v>
      </c>
      <c r="DP8">
        <v>49</v>
      </c>
      <c r="DQ8">
        <v>53</v>
      </c>
      <c r="DR8">
        <v>52</v>
      </c>
      <c r="DS8">
        <v>52</v>
      </c>
      <c r="DT8">
        <v>60</v>
      </c>
      <c r="DU8">
        <v>64</v>
      </c>
      <c r="DV8">
        <v>76</v>
      </c>
      <c r="DW8">
        <v>48</v>
      </c>
      <c r="DX8">
        <v>61</v>
      </c>
      <c r="DY8">
        <v>2</v>
      </c>
      <c r="DZ8">
        <v>3</v>
      </c>
      <c r="EA8">
        <v>3</v>
      </c>
      <c r="EB8">
        <v>3</v>
      </c>
      <c r="EC8">
        <v>4</v>
      </c>
      <c r="ED8">
        <v>4</v>
      </c>
      <c r="EE8">
        <v>16</v>
      </c>
    </row>
    <row r="9" spans="1:135" x14ac:dyDescent="0.25">
      <c r="A9" t="s">
        <v>238</v>
      </c>
      <c r="C9" s="1">
        <v>2919</v>
      </c>
      <c r="D9" s="1">
        <v>2900</v>
      </c>
      <c r="E9" s="1">
        <v>2878</v>
      </c>
      <c r="F9" s="1">
        <v>3113</v>
      </c>
      <c r="G9" s="1">
        <v>3022</v>
      </c>
      <c r="H9" s="1">
        <v>3020</v>
      </c>
      <c r="I9">
        <v>931</v>
      </c>
      <c r="J9">
        <v>951</v>
      </c>
      <c r="K9">
        <v>917</v>
      </c>
      <c r="L9">
        <v>833</v>
      </c>
      <c r="M9">
        <v>818</v>
      </c>
      <c r="N9">
        <v>854</v>
      </c>
      <c r="O9">
        <v>1033</v>
      </c>
      <c r="P9" s="1">
        <v>1002</v>
      </c>
      <c r="Q9" s="1">
        <v>1007</v>
      </c>
      <c r="R9" s="1">
        <v>1019</v>
      </c>
      <c r="S9" s="1">
        <v>1011</v>
      </c>
      <c r="T9" s="1">
        <v>1104</v>
      </c>
      <c r="U9">
        <v>825</v>
      </c>
      <c r="V9">
        <v>829</v>
      </c>
      <c r="W9" s="1">
        <v>843</v>
      </c>
      <c r="X9">
        <v>1155</v>
      </c>
      <c r="Y9">
        <v>1036</v>
      </c>
      <c r="Z9" s="1">
        <v>903</v>
      </c>
      <c r="AA9">
        <v>130</v>
      </c>
      <c r="AB9">
        <v>118</v>
      </c>
      <c r="AC9">
        <v>111</v>
      </c>
      <c r="AD9">
        <v>106</v>
      </c>
      <c r="AE9">
        <v>157</v>
      </c>
      <c r="AF9">
        <v>159</v>
      </c>
      <c r="AG9">
        <v>0.7</v>
      </c>
      <c r="AI9">
        <v>1.4</v>
      </c>
      <c r="AJ9">
        <v>-6.2</v>
      </c>
      <c r="AK9">
        <v>-3.4</v>
      </c>
      <c r="AL9">
        <v>-3.4</v>
      </c>
      <c r="AM9" s="1">
        <v>2934</v>
      </c>
      <c r="AN9" s="1">
        <v>3281</v>
      </c>
      <c r="AO9" s="1">
        <v>3397</v>
      </c>
      <c r="AP9" s="1">
        <v>3140</v>
      </c>
      <c r="AQ9" s="1">
        <v>3103</v>
      </c>
      <c r="AR9" s="1">
        <v>2988</v>
      </c>
      <c r="AS9">
        <v>110</v>
      </c>
      <c r="AT9">
        <v>123</v>
      </c>
      <c r="AU9">
        <v>153</v>
      </c>
      <c r="AV9">
        <v>159</v>
      </c>
      <c r="AW9">
        <v>160</v>
      </c>
      <c r="AX9">
        <v>149</v>
      </c>
      <c r="AY9" s="1">
        <v>934</v>
      </c>
      <c r="AZ9">
        <v>983</v>
      </c>
      <c r="BA9">
        <v>951</v>
      </c>
      <c r="BB9" s="1">
        <v>927</v>
      </c>
      <c r="BC9" s="1">
        <v>1021</v>
      </c>
      <c r="BD9" s="1">
        <v>984</v>
      </c>
      <c r="BE9" s="1">
        <v>2000</v>
      </c>
      <c r="BF9" s="1">
        <v>2175</v>
      </c>
      <c r="BG9" s="1">
        <v>2293</v>
      </c>
      <c r="BH9" s="1">
        <v>2054</v>
      </c>
      <c r="BI9" s="1">
        <v>1922</v>
      </c>
      <c r="BJ9" s="1">
        <v>1855</v>
      </c>
      <c r="BK9">
        <v>387</v>
      </c>
      <c r="BL9">
        <v>425</v>
      </c>
      <c r="BM9">
        <v>482</v>
      </c>
      <c r="BN9">
        <v>289</v>
      </c>
      <c r="BO9">
        <v>300</v>
      </c>
      <c r="BP9">
        <v>310</v>
      </c>
      <c r="BQ9">
        <v>825</v>
      </c>
      <c r="BR9">
        <v>836</v>
      </c>
      <c r="BS9">
        <v>864</v>
      </c>
      <c r="BT9">
        <v>761</v>
      </c>
      <c r="BU9">
        <v>715</v>
      </c>
      <c r="BV9" s="1">
        <v>781</v>
      </c>
      <c r="BW9">
        <v>712</v>
      </c>
      <c r="BX9">
        <v>813</v>
      </c>
      <c r="BY9">
        <v>834</v>
      </c>
      <c r="BZ9">
        <v>915</v>
      </c>
      <c r="CA9">
        <v>796</v>
      </c>
      <c r="CB9">
        <v>667</v>
      </c>
      <c r="CC9">
        <v>76</v>
      </c>
      <c r="CD9">
        <v>101</v>
      </c>
      <c r="CE9">
        <v>113</v>
      </c>
      <c r="CF9">
        <v>89</v>
      </c>
      <c r="CG9">
        <v>111</v>
      </c>
      <c r="CH9">
        <v>97</v>
      </c>
      <c r="CI9">
        <v>77.599999999999994</v>
      </c>
      <c r="CJ9">
        <v>84.7</v>
      </c>
      <c r="CK9">
        <v>85.1</v>
      </c>
      <c r="CL9">
        <v>86.4</v>
      </c>
      <c r="CM9">
        <v>86.6</v>
      </c>
      <c r="CN9">
        <v>80.8</v>
      </c>
      <c r="CO9" s="1">
        <v>1399</v>
      </c>
      <c r="CP9" s="1">
        <v>1415</v>
      </c>
      <c r="CQ9" s="1">
        <v>1416</v>
      </c>
      <c r="CR9" s="1">
        <v>1935</v>
      </c>
      <c r="CS9" s="1">
        <v>1963</v>
      </c>
      <c r="CT9" s="1">
        <v>2052</v>
      </c>
      <c r="CU9">
        <v>448</v>
      </c>
      <c r="CV9">
        <v>502</v>
      </c>
      <c r="CW9">
        <v>533</v>
      </c>
      <c r="CX9">
        <v>487</v>
      </c>
      <c r="CY9">
        <v>458</v>
      </c>
      <c r="CZ9">
        <v>415</v>
      </c>
      <c r="DA9">
        <v>112</v>
      </c>
      <c r="DB9">
        <v>140</v>
      </c>
      <c r="DC9">
        <v>129</v>
      </c>
      <c r="DD9">
        <v>133</v>
      </c>
      <c r="DE9">
        <v>147</v>
      </c>
      <c r="DF9">
        <v>146</v>
      </c>
      <c r="DG9">
        <v>141</v>
      </c>
      <c r="DH9">
        <v>168</v>
      </c>
      <c r="DI9">
        <v>178</v>
      </c>
      <c r="DJ9">
        <v>166</v>
      </c>
      <c r="DK9">
        <v>154</v>
      </c>
      <c r="DL9">
        <v>147</v>
      </c>
      <c r="DM9">
        <v>45</v>
      </c>
      <c r="DN9">
        <v>47</v>
      </c>
      <c r="DO9">
        <v>46</v>
      </c>
      <c r="DP9">
        <v>48</v>
      </c>
      <c r="DQ9">
        <v>49</v>
      </c>
      <c r="DR9">
        <v>49</v>
      </c>
      <c r="DS9">
        <v>42</v>
      </c>
      <c r="DT9">
        <v>63</v>
      </c>
      <c r="DU9">
        <v>71</v>
      </c>
      <c r="DV9">
        <v>52</v>
      </c>
      <c r="DW9">
        <v>54</v>
      </c>
      <c r="DX9">
        <v>54</v>
      </c>
      <c r="DY9">
        <v>54</v>
      </c>
      <c r="DZ9">
        <v>58</v>
      </c>
      <c r="EA9">
        <v>61</v>
      </c>
      <c r="EB9">
        <v>66</v>
      </c>
      <c r="EC9">
        <v>51</v>
      </c>
      <c r="ED9">
        <v>44</v>
      </c>
      <c r="EE9">
        <v>18</v>
      </c>
    </row>
    <row r="10" spans="1:135" x14ac:dyDescent="0.25">
      <c r="A10" t="s">
        <v>239</v>
      </c>
      <c r="C10" s="1">
        <v>12306</v>
      </c>
      <c r="D10" s="1">
        <v>11999</v>
      </c>
      <c r="E10" s="1">
        <v>11982</v>
      </c>
      <c r="F10" s="1">
        <v>12211</v>
      </c>
      <c r="G10" s="1">
        <v>13577</v>
      </c>
      <c r="H10" s="1">
        <v>12549</v>
      </c>
      <c r="I10" s="1">
        <v>3568</v>
      </c>
      <c r="J10" s="1">
        <v>3370</v>
      </c>
      <c r="K10" s="1">
        <v>3305</v>
      </c>
      <c r="L10" s="1">
        <v>3233</v>
      </c>
      <c r="M10" s="1">
        <v>3281</v>
      </c>
      <c r="N10" s="1">
        <v>2656</v>
      </c>
      <c r="O10" s="1">
        <v>3817</v>
      </c>
      <c r="P10" s="1">
        <v>3691</v>
      </c>
      <c r="Q10" s="1">
        <v>3697</v>
      </c>
      <c r="R10" s="1">
        <v>3754</v>
      </c>
      <c r="S10" s="1">
        <v>3778</v>
      </c>
      <c r="T10" s="1">
        <v>3669</v>
      </c>
      <c r="U10" s="1">
        <v>1631</v>
      </c>
      <c r="V10" s="1">
        <v>1656</v>
      </c>
      <c r="W10" s="1">
        <v>1655</v>
      </c>
      <c r="X10" s="1">
        <v>1682</v>
      </c>
      <c r="Y10" s="1">
        <v>1657</v>
      </c>
      <c r="Z10" s="1">
        <v>1739</v>
      </c>
      <c r="AA10" s="1">
        <v>3290</v>
      </c>
      <c r="AB10" s="1">
        <v>3282</v>
      </c>
      <c r="AC10" s="1">
        <v>3325</v>
      </c>
      <c r="AD10" s="1">
        <v>3542</v>
      </c>
      <c r="AE10" s="1">
        <v>4861</v>
      </c>
      <c r="AF10" s="1">
        <v>4485</v>
      </c>
      <c r="AG10">
        <v>2.6</v>
      </c>
      <c r="AI10">
        <v>2.7</v>
      </c>
      <c r="AJ10">
        <v>0.8</v>
      </c>
      <c r="AK10">
        <v>-9.4</v>
      </c>
      <c r="AL10">
        <v>-1.9</v>
      </c>
      <c r="AM10" s="1">
        <v>12709</v>
      </c>
      <c r="AN10" s="1">
        <v>13471</v>
      </c>
      <c r="AO10" s="1">
        <v>13340</v>
      </c>
      <c r="AP10" s="1">
        <v>12818</v>
      </c>
      <c r="AQ10" s="1">
        <v>12373</v>
      </c>
      <c r="AR10" s="1">
        <v>13600</v>
      </c>
      <c r="AS10">
        <v>429</v>
      </c>
      <c r="AT10">
        <v>546</v>
      </c>
      <c r="AU10">
        <v>501</v>
      </c>
      <c r="AV10">
        <v>487</v>
      </c>
      <c r="AW10">
        <v>505</v>
      </c>
      <c r="AX10">
        <v>454</v>
      </c>
      <c r="AY10" s="1">
        <v>5503</v>
      </c>
      <c r="AZ10" s="1">
        <v>6354</v>
      </c>
      <c r="BA10" s="1">
        <v>6515</v>
      </c>
      <c r="BB10" s="1">
        <v>6822</v>
      </c>
      <c r="BC10" s="1">
        <v>6068</v>
      </c>
      <c r="BD10" s="1">
        <v>6643</v>
      </c>
      <c r="BE10" s="1">
        <v>7206</v>
      </c>
      <c r="BF10" s="1">
        <v>6571</v>
      </c>
      <c r="BG10" s="1">
        <v>6324</v>
      </c>
      <c r="BH10" s="1">
        <v>5509</v>
      </c>
      <c r="BI10" s="1">
        <v>5800</v>
      </c>
      <c r="BJ10" s="1">
        <v>6503</v>
      </c>
      <c r="BK10" s="1">
        <v>1636</v>
      </c>
      <c r="BL10">
        <v>1116</v>
      </c>
      <c r="BM10">
        <v>979</v>
      </c>
      <c r="BN10">
        <v>701</v>
      </c>
      <c r="BO10">
        <v>631</v>
      </c>
      <c r="BP10">
        <v>683</v>
      </c>
      <c r="BQ10" s="1">
        <v>2363</v>
      </c>
      <c r="BR10" s="1">
        <v>2081</v>
      </c>
      <c r="BS10" s="1">
        <v>1958</v>
      </c>
      <c r="BT10" s="1">
        <v>1620</v>
      </c>
      <c r="BU10" s="1">
        <v>1835</v>
      </c>
      <c r="BV10" s="1">
        <v>2118</v>
      </c>
      <c r="BW10" s="1">
        <v>1261</v>
      </c>
      <c r="BX10" s="1">
        <v>1126</v>
      </c>
      <c r="BY10" s="1">
        <v>1166</v>
      </c>
      <c r="BZ10" s="1">
        <v>1110</v>
      </c>
      <c r="CA10" s="1">
        <v>1262</v>
      </c>
      <c r="CB10" s="1">
        <v>1365</v>
      </c>
      <c r="CC10" s="1">
        <v>1946</v>
      </c>
      <c r="CD10" s="1">
        <v>2248</v>
      </c>
      <c r="CE10" s="1">
        <v>2221</v>
      </c>
      <c r="CF10" s="1">
        <v>2078</v>
      </c>
      <c r="CG10" s="1">
        <v>2072</v>
      </c>
      <c r="CH10" s="1">
        <v>2337</v>
      </c>
      <c r="CI10">
        <v>62.2</v>
      </c>
      <c r="CJ10">
        <v>64.8</v>
      </c>
      <c r="CK10">
        <v>60.7</v>
      </c>
      <c r="CL10">
        <v>68.2</v>
      </c>
      <c r="CM10">
        <v>64.3</v>
      </c>
      <c r="CN10">
        <v>63.3</v>
      </c>
      <c r="CO10" s="1">
        <v>14312</v>
      </c>
      <c r="CP10" s="1">
        <v>14504</v>
      </c>
      <c r="CQ10" s="1">
        <v>15142</v>
      </c>
      <c r="CR10" s="1">
        <v>17306</v>
      </c>
      <c r="CS10" s="1">
        <v>17709</v>
      </c>
      <c r="CT10" s="1">
        <v>16267</v>
      </c>
      <c r="CU10">
        <v>568</v>
      </c>
      <c r="CV10">
        <v>516</v>
      </c>
      <c r="CW10">
        <v>460</v>
      </c>
      <c r="CX10">
        <v>425</v>
      </c>
      <c r="CY10">
        <v>421</v>
      </c>
      <c r="CZ10">
        <v>472</v>
      </c>
      <c r="DA10">
        <v>185</v>
      </c>
      <c r="DB10">
        <v>238</v>
      </c>
      <c r="DC10">
        <v>263</v>
      </c>
      <c r="DD10">
        <v>274</v>
      </c>
      <c r="DE10">
        <v>200</v>
      </c>
      <c r="DF10">
        <v>221</v>
      </c>
      <c r="DG10">
        <v>178</v>
      </c>
      <c r="DH10">
        <v>162</v>
      </c>
      <c r="DI10">
        <v>148</v>
      </c>
      <c r="DJ10">
        <v>137</v>
      </c>
      <c r="DK10">
        <v>126</v>
      </c>
      <c r="DL10">
        <v>147</v>
      </c>
      <c r="DM10">
        <v>19</v>
      </c>
      <c r="DN10">
        <v>18</v>
      </c>
      <c r="DO10">
        <v>18</v>
      </c>
      <c r="DP10">
        <v>17</v>
      </c>
      <c r="DQ10">
        <v>19</v>
      </c>
      <c r="DR10">
        <v>15</v>
      </c>
      <c r="DS10">
        <v>100</v>
      </c>
      <c r="DT10">
        <v>123</v>
      </c>
      <c r="DU10">
        <v>113</v>
      </c>
      <c r="DV10">
        <v>120</v>
      </c>
      <c r="DW10">
        <v>106</v>
      </c>
      <c r="DX10">
        <v>130</v>
      </c>
      <c r="DY10">
        <v>59</v>
      </c>
      <c r="DZ10">
        <v>21</v>
      </c>
      <c r="EA10">
        <v>17</v>
      </c>
      <c r="EB10" t="s">
        <v>91</v>
      </c>
      <c r="EC10">
        <v>1</v>
      </c>
      <c r="ED10">
        <v>2</v>
      </c>
      <c r="EE10">
        <v>20</v>
      </c>
    </row>
    <row r="11" spans="1:135" x14ac:dyDescent="0.25">
      <c r="A11" t="s">
        <v>240</v>
      </c>
      <c r="C11" s="1">
        <v>2294</v>
      </c>
      <c r="D11" s="1">
        <v>2225</v>
      </c>
      <c r="E11" s="1">
        <v>2270</v>
      </c>
      <c r="F11" s="1">
        <v>2328</v>
      </c>
      <c r="G11" s="1">
        <v>2226</v>
      </c>
      <c r="H11" s="1">
        <v>2407</v>
      </c>
      <c r="I11">
        <v>677</v>
      </c>
      <c r="J11">
        <v>711</v>
      </c>
      <c r="K11">
        <v>744</v>
      </c>
      <c r="L11">
        <v>714</v>
      </c>
      <c r="M11">
        <v>624</v>
      </c>
      <c r="N11">
        <v>635</v>
      </c>
      <c r="O11">
        <v>972</v>
      </c>
      <c r="P11">
        <v>892</v>
      </c>
      <c r="Q11">
        <v>895</v>
      </c>
      <c r="R11">
        <v>921</v>
      </c>
      <c r="S11" s="1">
        <v>923</v>
      </c>
      <c r="T11" s="1">
        <v>1009</v>
      </c>
      <c r="U11">
        <v>524</v>
      </c>
      <c r="V11">
        <v>521</v>
      </c>
      <c r="W11">
        <v>539</v>
      </c>
      <c r="X11">
        <v>599</v>
      </c>
      <c r="Y11">
        <v>583</v>
      </c>
      <c r="Z11">
        <v>663</v>
      </c>
      <c r="AA11">
        <v>121</v>
      </c>
      <c r="AB11">
        <v>101</v>
      </c>
      <c r="AC11">
        <v>92</v>
      </c>
      <c r="AD11">
        <v>94</v>
      </c>
      <c r="AE11">
        <v>96</v>
      </c>
      <c r="AF11">
        <v>100</v>
      </c>
      <c r="AG11">
        <v>3.1</v>
      </c>
      <c r="AI11">
        <v>1.1000000000000001</v>
      </c>
      <c r="AJ11">
        <v>-1.5</v>
      </c>
      <c r="AK11">
        <v>3.1</v>
      </c>
      <c r="AL11">
        <v>-4.7</v>
      </c>
      <c r="AM11" s="1">
        <v>2250</v>
      </c>
      <c r="AN11" s="1">
        <v>2375</v>
      </c>
      <c r="AO11" s="1">
        <v>2448</v>
      </c>
      <c r="AP11" s="1">
        <v>2376</v>
      </c>
      <c r="AQ11" s="1">
        <v>2385</v>
      </c>
      <c r="AR11" s="1">
        <v>2680</v>
      </c>
      <c r="AS11">
        <v>58</v>
      </c>
      <c r="AT11">
        <v>75</v>
      </c>
      <c r="AU11">
        <v>67</v>
      </c>
      <c r="AV11">
        <v>47</v>
      </c>
      <c r="AW11">
        <v>42</v>
      </c>
      <c r="AX11">
        <v>45</v>
      </c>
      <c r="AY11">
        <v>977</v>
      </c>
      <c r="AZ11">
        <v>1016</v>
      </c>
      <c r="BA11">
        <v>1028</v>
      </c>
      <c r="BB11">
        <v>898</v>
      </c>
      <c r="BC11" s="1">
        <v>870</v>
      </c>
      <c r="BD11" s="1">
        <v>1038</v>
      </c>
      <c r="BE11" s="1">
        <v>1273</v>
      </c>
      <c r="BF11" s="1">
        <v>1284</v>
      </c>
      <c r="BG11" s="1">
        <v>1353</v>
      </c>
      <c r="BH11" s="1">
        <v>1431</v>
      </c>
      <c r="BI11" s="1">
        <v>1473</v>
      </c>
      <c r="BJ11" s="1">
        <v>1597</v>
      </c>
      <c r="BK11">
        <v>196</v>
      </c>
      <c r="BL11">
        <v>234</v>
      </c>
      <c r="BM11">
        <v>233</v>
      </c>
      <c r="BN11">
        <v>222</v>
      </c>
      <c r="BO11">
        <v>237</v>
      </c>
      <c r="BP11">
        <v>269</v>
      </c>
      <c r="BQ11">
        <v>595</v>
      </c>
      <c r="BR11">
        <v>563</v>
      </c>
      <c r="BS11">
        <v>584</v>
      </c>
      <c r="BT11">
        <v>597</v>
      </c>
      <c r="BU11">
        <v>626</v>
      </c>
      <c r="BV11">
        <v>667</v>
      </c>
      <c r="BW11">
        <v>415</v>
      </c>
      <c r="BX11">
        <v>425</v>
      </c>
      <c r="BY11">
        <v>465</v>
      </c>
      <c r="BZ11">
        <v>544</v>
      </c>
      <c r="CA11">
        <v>545</v>
      </c>
      <c r="CB11">
        <v>579</v>
      </c>
      <c r="CC11">
        <v>67</v>
      </c>
      <c r="CD11">
        <v>62</v>
      </c>
      <c r="CE11">
        <v>71</v>
      </c>
      <c r="CF11">
        <v>68</v>
      </c>
      <c r="CG11">
        <v>65</v>
      </c>
      <c r="CH11">
        <v>82</v>
      </c>
      <c r="CI11">
        <v>66.5</v>
      </c>
      <c r="CJ11">
        <v>70.5</v>
      </c>
      <c r="CK11">
        <v>69.400000000000006</v>
      </c>
      <c r="CL11">
        <v>71.599999999999994</v>
      </c>
      <c r="CM11">
        <v>72.2</v>
      </c>
      <c r="CN11">
        <v>69.599999999999994</v>
      </c>
      <c r="CO11" s="1">
        <v>1372</v>
      </c>
      <c r="CP11" s="1">
        <v>1341</v>
      </c>
      <c r="CQ11" s="1">
        <v>1475</v>
      </c>
      <c r="CR11" s="1">
        <v>1652</v>
      </c>
      <c r="CS11" s="1">
        <v>1698</v>
      </c>
      <c r="CT11" s="1">
        <v>1839</v>
      </c>
      <c r="CU11">
        <v>263</v>
      </c>
      <c r="CV11">
        <v>242</v>
      </c>
      <c r="CW11">
        <v>248</v>
      </c>
      <c r="CX11">
        <v>252</v>
      </c>
      <c r="CY11">
        <v>266</v>
      </c>
      <c r="CZ11">
        <v>277</v>
      </c>
      <c r="DA11">
        <v>123</v>
      </c>
      <c r="DB11">
        <v>102</v>
      </c>
      <c r="DC11">
        <v>101</v>
      </c>
      <c r="DD11">
        <v>97</v>
      </c>
      <c r="DE11">
        <v>88</v>
      </c>
      <c r="DF11">
        <v>103</v>
      </c>
      <c r="DG11">
        <v>85</v>
      </c>
      <c r="DH11">
        <v>82</v>
      </c>
      <c r="DI11">
        <v>83</v>
      </c>
      <c r="DJ11">
        <v>85</v>
      </c>
      <c r="DK11">
        <v>89</v>
      </c>
      <c r="DL11">
        <v>94</v>
      </c>
      <c r="DM11">
        <v>73</v>
      </c>
      <c r="DN11">
        <v>73</v>
      </c>
      <c r="DO11">
        <v>74</v>
      </c>
      <c r="DP11">
        <v>75</v>
      </c>
      <c r="DQ11">
        <v>76</v>
      </c>
      <c r="DR11">
        <v>84</v>
      </c>
      <c r="DS11">
        <v>12</v>
      </c>
      <c r="DT11">
        <v>9</v>
      </c>
      <c r="DU11">
        <v>9</v>
      </c>
      <c r="DV11">
        <v>10</v>
      </c>
      <c r="DW11">
        <v>13</v>
      </c>
      <c r="DX11">
        <v>10</v>
      </c>
      <c r="DY11" t="s">
        <v>91</v>
      </c>
      <c r="DZ11" t="s">
        <v>91</v>
      </c>
      <c r="EA11" t="s">
        <v>91</v>
      </c>
      <c r="EB11" t="s">
        <v>91</v>
      </c>
      <c r="EC11" t="s">
        <v>91</v>
      </c>
      <c r="ED11" t="s">
        <v>91</v>
      </c>
      <c r="EE11">
        <v>22</v>
      </c>
    </row>
    <row r="12" spans="1:135" x14ac:dyDescent="0.25">
      <c r="A12" t="s">
        <v>241</v>
      </c>
      <c r="C12" s="1">
        <v>6449</v>
      </c>
      <c r="D12" s="1">
        <v>6296</v>
      </c>
      <c r="E12" s="1">
        <v>6438</v>
      </c>
      <c r="F12" s="1">
        <v>6995</v>
      </c>
      <c r="G12" s="1">
        <v>7371</v>
      </c>
      <c r="H12" s="1">
        <v>6361</v>
      </c>
      <c r="I12" s="1">
        <v>1883</v>
      </c>
      <c r="J12" s="1">
        <v>1847</v>
      </c>
      <c r="K12" s="1">
        <v>1859</v>
      </c>
      <c r="L12" s="1">
        <v>1956</v>
      </c>
      <c r="M12" s="1">
        <v>2227</v>
      </c>
      <c r="N12" s="1">
        <v>2002</v>
      </c>
      <c r="O12" s="1">
        <v>2640</v>
      </c>
      <c r="P12" s="1">
        <v>2400</v>
      </c>
      <c r="Q12" s="1">
        <v>2437</v>
      </c>
      <c r="R12" s="1">
        <v>2256</v>
      </c>
      <c r="S12" s="1">
        <v>2258</v>
      </c>
      <c r="T12" s="1">
        <v>2205</v>
      </c>
      <c r="U12" s="1">
        <v>1500</v>
      </c>
      <c r="V12" s="1">
        <v>1579</v>
      </c>
      <c r="W12" s="1">
        <v>1669</v>
      </c>
      <c r="X12" s="1">
        <v>2204</v>
      </c>
      <c r="Y12" s="1">
        <v>2289</v>
      </c>
      <c r="Z12" s="1">
        <v>1620</v>
      </c>
      <c r="AA12">
        <v>426</v>
      </c>
      <c r="AB12">
        <v>470</v>
      </c>
      <c r="AC12">
        <v>473</v>
      </c>
      <c r="AD12">
        <v>579</v>
      </c>
      <c r="AE12">
        <v>597</v>
      </c>
      <c r="AF12">
        <v>534</v>
      </c>
      <c r="AG12">
        <v>2.4</v>
      </c>
      <c r="AI12">
        <v>0.2</v>
      </c>
      <c r="AJ12">
        <v>-7.8</v>
      </c>
      <c r="AK12">
        <v>-12.5</v>
      </c>
      <c r="AL12">
        <v>1.4</v>
      </c>
      <c r="AM12" s="1">
        <v>6303</v>
      </c>
      <c r="AN12" s="1">
        <v>6362</v>
      </c>
      <c r="AO12" s="1">
        <v>6498</v>
      </c>
      <c r="AP12" s="1">
        <v>7366</v>
      </c>
      <c r="AQ12" s="1">
        <v>6931</v>
      </c>
      <c r="AR12" s="1">
        <v>6503</v>
      </c>
      <c r="AS12">
        <v>154</v>
      </c>
      <c r="AT12">
        <v>128</v>
      </c>
      <c r="AU12">
        <v>141</v>
      </c>
      <c r="AV12">
        <v>261</v>
      </c>
      <c r="AW12">
        <v>172</v>
      </c>
      <c r="AX12">
        <v>157</v>
      </c>
      <c r="AY12" s="1">
        <v>2985</v>
      </c>
      <c r="AZ12" s="1">
        <v>3142</v>
      </c>
      <c r="BA12" s="1">
        <v>3214</v>
      </c>
      <c r="BB12" s="1">
        <v>3636</v>
      </c>
      <c r="BC12" s="1">
        <v>3691</v>
      </c>
      <c r="BD12" s="1">
        <v>3151</v>
      </c>
      <c r="BE12" s="1">
        <v>3318</v>
      </c>
      <c r="BF12" s="1">
        <v>3092</v>
      </c>
      <c r="BG12" s="1">
        <v>3143</v>
      </c>
      <c r="BH12" s="1">
        <v>3469</v>
      </c>
      <c r="BI12" s="1">
        <v>3068</v>
      </c>
      <c r="BJ12" s="1">
        <v>3195</v>
      </c>
      <c r="BK12">
        <v>521</v>
      </c>
      <c r="BL12">
        <v>372</v>
      </c>
      <c r="BM12">
        <v>367</v>
      </c>
      <c r="BN12">
        <v>340</v>
      </c>
      <c r="BO12">
        <v>426</v>
      </c>
      <c r="BP12">
        <v>402</v>
      </c>
      <c r="BQ12" s="1">
        <v>1376</v>
      </c>
      <c r="BR12">
        <v>1133</v>
      </c>
      <c r="BS12" s="1">
        <v>1126</v>
      </c>
      <c r="BT12" s="1">
        <v>1085</v>
      </c>
      <c r="BU12" s="1">
        <v>1136</v>
      </c>
      <c r="BV12" s="1">
        <v>1192</v>
      </c>
      <c r="BW12" s="1">
        <v>1151</v>
      </c>
      <c r="BX12" s="1">
        <v>1318</v>
      </c>
      <c r="BY12" s="1">
        <v>1387</v>
      </c>
      <c r="BZ12" s="1">
        <v>1674</v>
      </c>
      <c r="CA12" s="1">
        <v>1258</v>
      </c>
      <c r="CB12" s="1">
        <v>1240</v>
      </c>
      <c r="CC12">
        <v>270</v>
      </c>
      <c r="CD12">
        <v>269</v>
      </c>
      <c r="CE12">
        <v>263</v>
      </c>
      <c r="CF12">
        <v>370</v>
      </c>
      <c r="CG12">
        <v>248</v>
      </c>
      <c r="CH12">
        <v>361</v>
      </c>
      <c r="CI12">
        <v>73.2</v>
      </c>
      <c r="CJ12">
        <v>81.900000000000006</v>
      </c>
      <c r="CK12">
        <v>81.599999999999994</v>
      </c>
      <c r="CL12">
        <v>84.1</v>
      </c>
      <c r="CM12">
        <v>88.8</v>
      </c>
      <c r="CN12">
        <v>88.3</v>
      </c>
      <c r="CO12" s="1">
        <v>3683</v>
      </c>
      <c r="CP12" s="1">
        <v>3565</v>
      </c>
      <c r="CQ12" s="1">
        <v>3406</v>
      </c>
      <c r="CR12" s="1">
        <v>3465</v>
      </c>
      <c r="CS12" s="1">
        <v>3834</v>
      </c>
      <c r="CT12" s="1">
        <v>3407</v>
      </c>
      <c r="CU12">
        <v>722</v>
      </c>
      <c r="CV12">
        <v>664</v>
      </c>
      <c r="CW12">
        <v>678</v>
      </c>
      <c r="CX12">
        <v>775</v>
      </c>
      <c r="CY12">
        <v>684</v>
      </c>
      <c r="CZ12">
        <v>705</v>
      </c>
      <c r="DA12">
        <v>287</v>
      </c>
      <c r="DB12">
        <v>250</v>
      </c>
      <c r="DC12">
        <v>259</v>
      </c>
      <c r="DD12">
        <v>310</v>
      </c>
      <c r="DE12">
        <v>283</v>
      </c>
      <c r="DF12">
        <v>273</v>
      </c>
      <c r="DG12">
        <v>246</v>
      </c>
      <c r="DH12">
        <v>213</v>
      </c>
      <c r="DI12">
        <v>217</v>
      </c>
      <c r="DJ12">
        <v>242</v>
      </c>
      <c r="DK12">
        <v>215</v>
      </c>
      <c r="DL12">
        <v>220</v>
      </c>
      <c r="DM12">
        <v>17</v>
      </c>
      <c r="DN12">
        <v>16</v>
      </c>
      <c r="DO12">
        <v>16</v>
      </c>
      <c r="DP12">
        <v>15</v>
      </c>
      <c r="DQ12">
        <v>16</v>
      </c>
      <c r="DR12">
        <v>16</v>
      </c>
      <c r="DS12">
        <v>216</v>
      </c>
      <c r="DT12">
        <v>178</v>
      </c>
      <c r="DU12">
        <v>183</v>
      </c>
      <c r="DV12">
        <v>211</v>
      </c>
      <c r="DW12">
        <v>184</v>
      </c>
      <c r="DX12">
        <v>192</v>
      </c>
      <c r="DY12">
        <v>13</v>
      </c>
      <c r="DZ12">
        <v>19</v>
      </c>
      <c r="EA12">
        <v>18</v>
      </c>
      <c r="EB12">
        <v>16</v>
      </c>
      <c r="EC12">
        <v>15</v>
      </c>
      <c r="ED12">
        <v>12</v>
      </c>
      <c r="EE12">
        <v>24</v>
      </c>
    </row>
    <row r="13" spans="1:135" x14ac:dyDescent="0.25">
      <c r="A13" t="s">
        <v>242</v>
      </c>
      <c r="C13" s="1">
        <v>1143</v>
      </c>
      <c r="D13" s="1">
        <v>1176</v>
      </c>
      <c r="E13" s="1">
        <v>1178</v>
      </c>
      <c r="F13" s="1">
        <v>1097</v>
      </c>
      <c r="G13" s="1">
        <v>1307</v>
      </c>
      <c r="H13" s="1">
        <v>1310</v>
      </c>
      <c r="I13">
        <v>97</v>
      </c>
      <c r="J13">
        <v>135</v>
      </c>
      <c r="K13">
        <v>151</v>
      </c>
      <c r="L13">
        <v>195</v>
      </c>
      <c r="M13">
        <v>293</v>
      </c>
      <c r="N13">
        <v>156</v>
      </c>
      <c r="O13">
        <v>466</v>
      </c>
      <c r="P13">
        <v>532</v>
      </c>
      <c r="Q13">
        <v>534</v>
      </c>
      <c r="R13">
        <v>466</v>
      </c>
      <c r="S13">
        <v>443</v>
      </c>
      <c r="T13">
        <v>525</v>
      </c>
      <c r="U13">
        <v>93</v>
      </c>
      <c r="V13">
        <v>93</v>
      </c>
      <c r="W13">
        <v>113</v>
      </c>
      <c r="X13">
        <v>112</v>
      </c>
      <c r="Y13">
        <v>115</v>
      </c>
      <c r="Z13">
        <v>146</v>
      </c>
      <c r="AA13">
        <v>487</v>
      </c>
      <c r="AB13">
        <v>416</v>
      </c>
      <c r="AC13">
        <v>380</v>
      </c>
      <c r="AD13">
        <v>324</v>
      </c>
      <c r="AE13">
        <v>456</v>
      </c>
      <c r="AF13">
        <v>483</v>
      </c>
      <c r="AG13">
        <v>-2.8</v>
      </c>
      <c r="AI13">
        <v>-3</v>
      </c>
      <c r="AJ13">
        <v>4.2</v>
      </c>
      <c r="AK13">
        <v>-12.6</v>
      </c>
      <c r="AL13">
        <v>-12.8</v>
      </c>
      <c r="AM13" s="1">
        <v>1083</v>
      </c>
      <c r="AN13" s="1">
        <v>1271</v>
      </c>
      <c r="AO13" s="1">
        <v>1189</v>
      </c>
      <c r="AP13" s="1">
        <v>1361</v>
      </c>
      <c r="AQ13" s="1">
        <v>1285</v>
      </c>
      <c r="AR13" s="1">
        <v>1309</v>
      </c>
      <c r="AS13">
        <v>156</v>
      </c>
      <c r="AT13">
        <v>269</v>
      </c>
      <c r="AU13">
        <v>234</v>
      </c>
      <c r="AV13">
        <v>214</v>
      </c>
      <c r="AW13">
        <v>218</v>
      </c>
      <c r="AX13">
        <v>207</v>
      </c>
      <c r="AY13">
        <v>421</v>
      </c>
      <c r="AZ13">
        <v>439</v>
      </c>
      <c r="BA13">
        <v>435</v>
      </c>
      <c r="BB13">
        <v>586</v>
      </c>
      <c r="BC13">
        <v>510</v>
      </c>
      <c r="BD13">
        <v>561</v>
      </c>
      <c r="BE13">
        <v>662</v>
      </c>
      <c r="BF13">
        <v>563</v>
      </c>
      <c r="BG13">
        <v>520</v>
      </c>
      <c r="BH13">
        <v>561</v>
      </c>
      <c r="BI13">
        <v>557</v>
      </c>
      <c r="BJ13">
        <v>541</v>
      </c>
      <c r="BK13">
        <v>90</v>
      </c>
      <c r="BL13">
        <v>100</v>
      </c>
      <c r="BM13">
        <v>92</v>
      </c>
      <c r="BN13">
        <v>66</v>
      </c>
      <c r="BO13">
        <v>64</v>
      </c>
      <c r="BP13">
        <v>57</v>
      </c>
      <c r="BQ13">
        <v>339</v>
      </c>
      <c r="BR13">
        <v>296</v>
      </c>
      <c r="BS13">
        <v>268</v>
      </c>
      <c r="BT13">
        <v>304</v>
      </c>
      <c r="BU13">
        <v>318</v>
      </c>
      <c r="BV13">
        <v>302</v>
      </c>
      <c r="BW13">
        <v>68</v>
      </c>
      <c r="BX13">
        <v>56</v>
      </c>
      <c r="BY13">
        <v>65</v>
      </c>
      <c r="BZ13">
        <v>47</v>
      </c>
      <c r="CA13">
        <v>67</v>
      </c>
      <c r="CB13">
        <v>79</v>
      </c>
      <c r="CC13">
        <v>165</v>
      </c>
      <c r="CD13">
        <v>111</v>
      </c>
      <c r="CE13">
        <v>95</v>
      </c>
      <c r="CF13">
        <v>144</v>
      </c>
      <c r="CG13">
        <v>108</v>
      </c>
      <c r="CH13">
        <v>103</v>
      </c>
      <c r="CI13">
        <v>67.5</v>
      </c>
      <c r="CJ13">
        <v>91.5</v>
      </c>
      <c r="CK13">
        <v>90.9</v>
      </c>
      <c r="CL13">
        <v>89.5</v>
      </c>
      <c r="CM13">
        <v>90.6</v>
      </c>
      <c r="CN13">
        <v>91.6</v>
      </c>
      <c r="CO13" s="1">
        <v>1347</v>
      </c>
      <c r="CP13" s="1">
        <v>1287</v>
      </c>
      <c r="CQ13" s="1">
        <v>1293</v>
      </c>
      <c r="CR13" s="1">
        <v>1305</v>
      </c>
      <c r="CS13" s="1">
        <v>1572</v>
      </c>
      <c r="CT13" s="1">
        <v>1550</v>
      </c>
      <c r="CU13">
        <v>203</v>
      </c>
      <c r="CV13">
        <v>173</v>
      </c>
      <c r="CW13">
        <v>159</v>
      </c>
      <c r="CX13">
        <v>161</v>
      </c>
      <c r="CY13">
        <v>152</v>
      </c>
      <c r="CZ13">
        <v>148</v>
      </c>
      <c r="DA13">
        <v>29</v>
      </c>
      <c r="DB13">
        <v>28</v>
      </c>
      <c r="DC13">
        <v>25</v>
      </c>
      <c r="DD13">
        <v>90</v>
      </c>
      <c r="DE13">
        <v>46</v>
      </c>
      <c r="DF13">
        <v>48</v>
      </c>
      <c r="DG13">
        <v>50</v>
      </c>
      <c r="DH13">
        <v>57</v>
      </c>
      <c r="DI13">
        <v>53</v>
      </c>
      <c r="DJ13">
        <v>56</v>
      </c>
      <c r="DK13">
        <v>51</v>
      </c>
      <c r="DL13">
        <v>49</v>
      </c>
      <c r="DM13">
        <v>20</v>
      </c>
      <c r="DN13">
        <v>16</v>
      </c>
      <c r="DO13">
        <v>17</v>
      </c>
      <c r="DP13">
        <v>21</v>
      </c>
      <c r="DQ13">
        <v>19</v>
      </c>
      <c r="DR13">
        <v>19</v>
      </c>
      <c r="DS13">
        <v>30</v>
      </c>
      <c r="DT13">
        <v>41</v>
      </c>
      <c r="DU13">
        <v>36</v>
      </c>
      <c r="DV13">
        <v>35</v>
      </c>
      <c r="DW13">
        <v>32</v>
      </c>
      <c r="DX13">
        <v>30</v>
      </c>
      <c r="DY13" t="s">
        <v>91</v>
      </c>
      <c r="DZ13" t="s">
        <v>91</v>
      </c>
      <c r="EA13" t="s">
        <v>91</v>
      </c>
      <c r="EB13" t="s">
        <v>91</v>
      </c>
      <c r="EC13" t="s">
        <v>91</v>
      </c>
      <c r="ED13" t="s">
        <v>91</v>
      </c>
      <c r="EE13">
        <v>2</v>
      </c>
    </row>
    <row r="15" spans="1:135" x14ac:dyDescent="0.25">
      <c r="A15" t="s">
        <v>224</v>
      </c>
      <c r="C15" s="1">
        <v>55817</v>
      </c>
      <c r="D15" s="1">
        <v>55847</v>
      </c>
      <c r="E15" s="1">
        <v>55992</v>
      </c>
      <c r="F15" s="1">
        <v>57740</v>
      </c>
      <c r="G15" s="1">
        <v>61104</v>
      </c>
      <c r="H15" s="1">
        <v>58410</v>
      </c>
      <c r="I15" s="1">
        <v>15605</v>
      </c>
      <c r="J15" s="1">
        <v>15716</v>
      </c>
      <c r="K15" s="1">
        <v>15789</v>
      </c>
      <c r="L15" s="1">
        <v>16249</v>
      </c>
      <c r="M15" s="1">
        <v>16853</v>
      </c>
      <c r="N15" s="1">
        <v>15472</v>
      </c>
      <c r="O15" s="1">
        <v>19973</v>
      </c>
      <c r="P15" s="1">
        <v>19655</v>
      </c>
      <c r="Q15" s="1">
        <v>19593</v>
      </c>
      <c r="R15" s="1">
        <v>19211</v>
      </c>
      <c r="S15" s="1">
        <v>19001</v>
      </c>
      <c r="T15" s="1">
        <v>19389</v>
      </c>
      <c r="U15" s="1">
        <v>12453</v>
      </c>
      <c r="V15" s="1">
        <v>12689</v>
      </c>
      <c r="W15" s="1">
        <v>12797</v>
      </c>
      <c r="X15" s="1">
        <v>13710</v>
      </c>
      <c r="Y15" s="1">
        <v>13667</v>
      </c>
      <c r="Z15" s="1">
        <v>13167</v>
      </c>
      <c r="AA15" s="1">
        <v>7786</v>
      </c>
      <c r="AB15" s="1">
        <v>7787</v>
      </c>
      <c r="AC15" s="1">
        <v>7813</v>
      </c>
      <c r="AD15" s="1">
        <v>8570</v>
      </c>
      <c r="AE15" s="1">
        <v>11583</v>
      </c>
      <c r="AF15" s="1">
        <v>10382</v>
      </c>
      <c r="AG15">
        <v>-0.1</v>
      </c>
      <c r="AI15">
        <v>-0.3</v>
      </c>
      <c r="AJ15">
        <v>-3.3</v>
      </c>
      <c r="AK15">
        <v>-8.6999999999999993</v>
      </c>
      <c r="AL15">
        <v>-4.4000000000000004</v>
      </c>
      <c r="AM15" s="1">
        <v>57173</v>
      </c>
      <c r="AN15" s="1">
        <v>58319</v>
      </c>
      <c r="AO15" s="1">
        <v>59526</v>
      </c>
      <c r="AP15" s="1">
        <v>60508</v>
      </c>
      <c r="AQ15" s="1">
        <v>59096</v>
      </c>
      <c r="AR15" s="1">
        <v>62846</v>
      </c>
      <c r="AS15" s="1">
        <v>2160</v>
      </c>
      <c r="AT15" s="1">
        <v>2186</v>
      </c>
      <c r="AU15" s="1">
        <v>2379</v>
      </c>
      <c r="AV15" s="1">
        <v>2319</v>
      </c>
      <c r="AW15" s="1">
        <v>2327</v>
      </c>
      <c r="AX15" s="1">
        <v>2374</v>
      </c>
      <c r="AY15" s="1">
        <v>23939</v>
      </c>
      <c r="AZ15" s="1">
        <v>25621</v>
      </c>
      <c r="BA15" s="1">
        <v>26233</v>
      </c>
      <c r="BB15" s="1">
        <v>28029</v>
      </c>
      <c r="BC15" s="1">
        <v>27161</v>
      </c>
      <c r="BD15" s="1">
        <v>28755</v>
      </c>
      <c r="BE15" s="1">
        <v>33234</v>
      </c>
      <c r="BF15" s="1">
        <v>30512</v>
      </c>
      <c r="BG15" s="1">
        <v>30914</v>
      </c>
      <c r="BH15" s="1">
        <v>30160</v>
      </c>
      <c r="BI15" s="1">
        <v>29608</v>
      </c>
      <c r="BJ15" s="1">
        <v>31717</v>
      </c>
      <c r="BK15" s="1">
        <v>5954</v>
      </c>
      <c r="BL15" s="1">
        <v>4464</v>
      </c>
      <c r="BM15" s="1">
        <v>4669</v>
      </c>
      <c r="BN15" s="1">
        <v>4362</v>
      </c>
      <c r="BO15" s="1">
        <v>4025</v>
      </c>
      <c r="BP15" s="1">
        <v>4068</v>
      </c>
      <c r="BQ15" s="1">
        <v>12444</v>
      </c>
      <c r="BR15" s="1">
        <v>10904</v>
      </c>
      <c r="BS15" s="1">
        <v>11025</v>
      </c>
      <c r="BT15" s="1">
        <v>10518</v>
      </c>
      <c r="BU15" s="1">
        <v>10485</v>
      </c>
      <c r="BV15" s="1">
        <v>11190</v>
      </c>
      <c r="BW15" s="1">
        <v>10321</v>
      </c>
      <c r="BX15" s="1">
        <v>9892</v>
      </c>
      <c r="BY15" s="1">
        <v>9842</v>
      </c>
      <c r="BZ15" s="1">
        <v>9744</v>
      </c>
      <c r="CA15" s="1">
        <v>9731</v>
      </c>
      <c r="CB15" s="1">
        <v>10393</v>
      </c>
      <c r="CC15" s="1">
        <v>4515</v>
      </c>
      <c r="CD15" s="1">
        <v>5252</v>
      </c>
      <c r="CE15" s="1">
        <v>5378</v>
      </c>
      <c r="CF15" s="1">
        <v>5536</v>
      </c>
      <c r="CG15" s="1">
        <v>5367</v>
      </c>
      <c r="CH15" s="1">
        <v>6066</v>
      </c>
      <c r="CI15">
        <v>69.900000000000006</v>
      </c>
      <c r="CJ15">
        <v>74.7</v>
      </c>
      <c r="CK15">
        <v>73.7</v>
      </c>
      <c r="CL15">
        <v>76.8</v>
      </c>
      <c r="CM15">
        <v>76.7</v>
      </c>
      <c r="CN15">
        <v>75.900000000000006</v>
      </c>
      <c r="CO15" s="1">
        <v>44447</v>
      </c>
      <c r="CP15" s="1">
        <v>45709</v>
      </c>
      <c r="CQ15" s="1">
        <v>46351</v>
      </c>
      <c r="CR15" s="1">
        <v>50564</v>
      </c>
      <c r="CS15" s="1">
        <v>53071</v>
      </c>
      <c r="CT15" s="1">
        <v>51742</v>
      </c>
      <c r="CU15">
        <v>496</v>
      </c>
      <c r="CV15">
        <v>459</v>
      </c>
      <c r="CW15">
        <v>463</v>
      </c>
      <c r="CX15">
        <v>461</v>
      </c>
      <c r="CY15">
        <v>448</v>
      </c>
      <c r="CZ15">
        <v>481</v>
      </c>
      <c r="DA15">
        <v>138</v>
      </c>
      <c r="DB15">
        <v>153</v>
      </c>
      <c r="DC15">
        <v>161</v>
      </c>
      <c r="DD15">
        <v>179</v>
      </c>
      <c r="DE15">
        <v>156</v>
      </c>
      <c r="DF15">
        <v>168</v>
      </c>
      <c r="DG15">
        <v>160</v>
      </c>
      <c r="DH15">
        <v>157</v>
      </c>
      <c r="DI15">
        <v>158</v>
      </c>
      <c r="DJ15">
        <v>156</v>
      </c>
      <c r="DK15">
        <v>152</v>
      </c>
      <c r="DL15">
        <v>164</v>
      </c>
      <c r="DM15">
        <v>51</v>
      </c>
      <c r="DN15">
        <v>53</v>
      </c>
      <c r="DO15">
        <v>55</v>
      </c>
      <c r="DP15">
        <v>52</v>
      </c>
      <c r="DQ15">
        <v>54</v>
      </c>
      <c r="DR15">
        <v>55</v>
      </c>
      <c r="DS15">
        <v>93</v>
      </c>
      <c r="DT15">
        <v>93</v>
      </c>
      <c r="DU15">
        <v>93</v>
      </c>
      <c r="DV15">
        <v>97</v>
      </c>
      <c r="DW15">
        <v>92</v>
      </c>
      <c r="DX15">
        <v>104</v>
      </c>
      <c r="DY15">
        <v>16</v>
      </c>
      <c r="DZ15">
        <v>11</v>
      </c>
      <c r="EA15">
        <v>10</v>
      </c>
      <c r="EB15">
        <v>7</v>
      </c>
      <c r="EC15">
        <v>6</v>
      </c>
      <c r="ED15">
        <v>5</v>
      </c>
      <c r="EE15">
        <v>31</v>
      </c>
    </row>
  </sheetData>
  <sheetProtection password="C897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15"/>
  <sheetViews>
    <sheetView workbookViewId="0">
      <selection sqref="A1:XFD1048576"/>
    </sheetView>
  </sheetViews>
  <sheetFormatPr defaultColWidth="4.140625" defaultRowHeight="15" x14ac:dyDescent="0.25"/>
  <cols>
    <col min="1" max="1" width="19" bestFit="1" customWidth="1"/>
    <col min="2" max="3" width="5.42578125" bestFit="1" customWidth="1"/>
    <col min="4" max="5" width="14.42578125" bestFit="1" customWidth="1"/>
    <col min="6" max="7" width="12.85546875" bestFit="1" customWidth="1"/>
    <col min="8" max="15" width="10.85546875" bestFit="1" customWidth="1"/>
    <col min="16" max="16" width="14.140625" bestFit="1" customWidth="1"/>
    <col min="17" max="17" width="12.5703125" bestFit="1" customWidth="1"/>
    <col min="18" max="21" width="10.5703125" bestFit="1" customWidth="1"/>
    <col min="22" max="22" width="15.140625" bestFit="1" customWidth="1"/>
    <col min="23" max="23" width="13.7109375" bestFit="1" customWidth="1"/>
    <col min="24" max="27" width="11.5703125" bestFit="1" customWidth="1"/>
    <col min="28" max="28" width="17.85546875" bestFit="1" customWidth="1"/>
    <col min="29" max="29" width="16.28515625" bestFit="1" customWidth="1"/>
    <col min="30" max="33" width="14.28515625" bestFit="1" customWidth="1"/>
    <col min="34" max="35" width="14.140625" bestFit="1" customWidth="1"/>
    <col min="36" max="36" width="12.5703125" bestFit="1" customWidth="1"/>
    <col min="37" max="40" width="10.5703125" bestFit="1" customWidth="1"/>
    <col min="41" max="41" width="10.42578125" bestFit="1" customWidth="1"/>
    <col min="42" max="42" width="15.7109375" bestFit="1" customWidth="1"/>
    <col min="43" max="43" width="14.28515625" bestFit="1" customWidth="1"/>
    <col min="44" max="47" width="12.140625" bestFit="1" customWidth="1"/>
    <col min="48" max="48" width="12" bestFit="1" customWidth="1"/>
    <col min="49" max="49" width="14.7109375" bestFit="1" customWidth="1"/>
    <col min="50" max="50" width="13.28515625" bestFit="1" customWidth="1"/>
    <col min="51" max="54" width="11.140625" bestFit="1" customWidth="1"/>
    <col min="55" max="55" width="11" bestFit="1" customWidth="1"/>
    <col min="56" max="56" width="16.42578125" bestFit="1" customWidth="1"/>
    <col min="57" max="57" width="15" bestFit="1" customWidth="1"/>
    <col min="58" max="61" width="12.85546875" bestFit="1" customWidth="1"/>
    <col min="62" max="62" width="12.7109375" bestFit="1" customWidth="1"/>
    <col min="63" max="63" width="15.140625" bestFit="1" customWidth="1"/>
    <col min="64" max="64" width="13.7109375" bestFit="1" customWidth="1"/>
    <col min="65" max="65" width="11.5703125" bestFit="1" customWidth="1"/>
    <col min="66" max="66" width="10.85546875" bestFit="1" customWidth="1"/>
    <col min="67" max="68" width="11.5703125" bestFit="1" customWidth="1"/>
    <col min="69" max="69" width="11.42578125" bestFit="1" customWidth="1"/>
    <col min="70" max="70" width="21" bestFit="1" customWidth="1"/>
    <col min="71" max="71" width="19.5703125" bestFit="1" customWidth="1"/>
    <col min="72" max="75" width="17.5703125" bestFit="1" customWidth="1"/>
    <col min="76" max="76" width="17.42578125" bestFit="1" customWidth="1"/>
    <col min="77" max="77" width="19.140625" bestFit="1" customWidth="1"/>
    <col min="78" max="78" width="17.7109375" bestFit="1" customWidth="1"/>
    <col min="79" max="82" width="15.5703125" bestFit="1" customWidth="1"/>
    <col min="83" max="83" width="15.42578125" bestFit="1" customWidth="1"/>
    <col min="84" max="84" width="21" bestFit="1" customWidth="1"/>
    <col min="85" max="85" width="19.5703125" bestFit="1" customWidth="1"/>
    <col min="86" max="89" width="17.5703125" bestFit="1" customWidth="1"/>
    <col min="90" max="90" width="17.42578125" bestFit="1" customWidth="1"/>
    <col min="91" max="91" width="18.5703125" bestFit="1" customWidth="1"/>
    <col min="92" max="92" width="17" bestFit="1" customWidth="1"/>
    <col min="93" max="96" width="15" bestFit="1" customWidth="1"/>
    <col min="97" max="97" width="14.85546875" bestFit="1" customWidth="1"/>
    <col min="98" max="98" width="20.140625" bestFit="1" customWidth="1"/>
    <col min="99" max="99" width="18.7109375" bestFit="1" customWidth="1"/>
    <col min="100" max="103" width="16.5703125" bestFit="1" customWidth="1"/>
    <col min="104" max="104" width="16.42578125" bestFit="1" customWidth="1"/>
    <col min="105" max="105" width="19.140625" bestFit="1" customWidth="1"/>
    <col min="106" max="106" width="17.7109375" bestFit="1" customWidth="1"/>
    <col min="107" max="110" width="15.5703125" bestFit="1" customWidth="1"/>
    <col min="111" max="111" width="15.42578125" bestFit="1" customWidth="1"/>
    <col min="112" max="112" width="20.85546875" bestFit="1" customWidth="1"/>
    <col min="113" max="113" width="19.42578125" bestFit="1" customWidth="1"/>
    <col min="114" max="117" width="17.42578125" bestFit="1" customWidth="1"/>
    <col min="118" max="118" width="17.28515625" bestFit="1" customWidth="1"/>
    <col min="119" max="119" width="15.42578125" bestFit="1" customWidth="1"/>
    <col min="120" max="120" width="14" bestFit="1" customWidth="1"/>
    <col min="121" max="124" width="11.85546875" bestFit="1" customWidth="1"/>
    <col min="125" max="125" width="11.7109375" bestFit="1" customWidth="1"/>
    <col min="126" max="126" width="15.28515625" bestFit="1" customWidth="1"/>
    <col min="127" max="127" width="13.85546875" bestFit="1" customWidth="1"/>
    <col min="128" max="131" width="11.7109375" bestFit="1" customWidth="1"/>
    <col min="132" max="132" width="11.5703125" bestFit="1" customWidth="1"/>
    <col min="133" max="133" width="17.28515625" bestFit="1" customWidth="1"/>
    <col min="134" max="134" width="15.7109375" bestFit="1" customWidth="1"/>
    <col min="135" max="138" width="13.7109375" bestFit="1" customWidth="1"/>
    <col min="139" max="139" width="13.5703125" bestFit="1" customWidth="1"/>
    <col min="140" max="140" width="14.42578125" bestFit="1" customWidth="1"/>
    <col min="141" max="141" width="12.85546875" bestFit="1" customWidth="1"/>
    <col min="142" max="145" width="10.85546875" bestFit="1" customWidth="1"/>
    <col min="146" max="146" width="10.7109375" bestFit="1" customWidth="1"/>
    <col min="147" max="147" width="6.28515625" bestFit="1" customWidth="1"/>
  </cols>
  <sheetData>
    <row r="1" spans="1:147" x14ac:dyDescent="0.25">
      <c r="B1" t="s">
        <v>93</v>
      </c>
      <c r="C1" t="s">
        <v>94</v>
      </c>
      <c r="D1" t="s">
        <v>291</v>
      </c>
      <c r="E1" t="s">
        <v>292</v>
      </c>
      <c r="F1" t="s">
        <v>293</v>
      </c>
      <c r="G1" t="s">
        <v>294</v>
      </c>
      <c r="H1" t="s">
        <v>95</v>
      </c>
      <c r="I1" t="s">
        <v>96</v>
      </c>
      <c r="J1" t="s">
        <v>97</v>
      </c>
      <c r="K1" t="s">
        <v>98</v>
      </c>
      <c r="L1" t="s">
        <v>99</v>
      </c>
      <c r="M1" t="s">
        <v>100</v>
      </c>
      <c r="N1" t="s">
        <v>101</v>
      </c>
      <c r="O1" t="s">
        <v>102</v>
      </c>
      <c r="P1" t="s">
        <v>295</v>
      </c>
      <c r="Q1" t="s">
        <v>296</v>
      </c>
      <c r="R1" t="s">
        <v>103</v>
      </c>
      <c r="S1" t="s">
        <v>104</v>
      </c>
      <c r="T1" t="s">
        <v>105</v>
      </c>
      <c r="U1" t="s">
        <v>106</v>
      </c>
      <c r="V1" t="s">
        <v>297</v>
      </c>
      <c r="W1" t="s">
        <v>298</v>
      </c>
      <c r="X1" t="s">
        <v>107</v>
      </c>
      <c r="Y1" t="s">
        <v>108</v>
      </c>
      <c r="Z1" t="s">
        <v>109</v>
      </c>
      <c r="AA1" t="s">
        <v>110</v>
      </c>
      <c r="AB1" t="s">
        <v>299</v>
      </c>
      <c r="AC1" t="s">
        <v>300</v>
      </c>
      <c r="AD1" t="s">
        <v>111</v>
      </c>
      <c r="AE1" t="s">
        <v>112</v>
      </c>
      <c r="AF1" t="s">
        <v>113</v>
      </c>
      <c r="AG1" t="s">
        <v>114</v>
      </c>
      <c r="AH1" t="s">
        <v>115</v>
      </c>
      <c r="AI1" t="s">
        <v>301</v>
      </c>
      <c r="AJ1" t="s">
        <v>302</v>
      </c>
      <c r="AK1" t="s">
        <v>116</v>
      </c>
      <c r="AL1" t="s">
        <v>117</v>
      </c>
      <c r="AM1" t="s">
        <v>118</v>
      </c>
      <c r="AN1" t="s">
        <v>119</v>
      </c>
      <c r="AO1" t="s">
        <v>120</v>
      </c>
      <c r="AP1" t="s">
        <v>303</v>
      </c>
      <c r="AQ1" t="s">
        <v>304</v>
      </c>
      <c r="AR1" t="s">
        <v>121</v>
      </c>
      <c r="AS1" t="s">
        <v>122</v>
      </c>
      <c r="AT1" t="s">
        <v>123</v>
      </c>
      <c r="AU1" t="s">
        <v>124</v>
      </c>
      <c r="AV1" t="s">
        <v>125</v>
      </c>
      <c r="AW1" t="s">
        <v>305</v>
      </c>
      <c r="AX1" t="s">
        <v>306</v>
      </c>
      <c r="AY1" t="s">
        <v>126</v>
      </c>
      <c r="AZ1" t="s">
        <v>127</v>
      </c>
      <c r="BA1" t="s">
        <v>128</v>
      </c>
      <c r="BB1" t="s">
        <v>129</v>
      </c>
      <c r="BC1" t="s">
        <v>130</v>
      </c>
      <c r="BD1" t="s">
        <v>307</v>
      </c>
      <c r="BE1" t="s">
        <v>308</v>
      </c>
      <c r="BF1" t="s">
        <v>131</v>
      </c>
      <c r="BG1" t="s">
        <v>132</v>
      </c>
      <c r="BH1" t="s">
        <v>133</v>
      </c>
      <c r="BI1" t="s">
        <v>134</v>
      </c>
      <c r="BJ1" t="s">
        <v>135</v>
      </c>
      <c r="BK1" t="s">
        <v>309</v>
      </c>
      <c r="BL1" t="s">
        <v>310</v>
      </c>
      <c r="BM1" t="s">
        <v>136</v>
      </c>
      <c r="BN1" t="s">
        <v>244</v>
      </c>
      <c r="BO1" t="s">
        <v>245</v>
      </c>
      <c r="BP1" t="s">
        <v>137</v>
      </c>
      <c r="BQ1" t="s">
        <v>138</v>
      </c>
      <c r="BR1" t="s">
        <v>311</v>
      </c>
      <c r="BS1" t="s">
        <v>312</v>
      </c>
      <c r="BT1" t="s">
        <v>139</v>
      </c>
      <c r="BU1" t="s">
        <v>140</v>
      </c>
      <c r="BV1" t="s">
        <v>141</v>
      </c>
      <c r="BW1" t="s">
        <v>142</v>
      </c>
      <c r="BX1" t="s">
        <v>143</v>
      </c>
      <c r="BY1" t="s">
        <v>313</v>
      </c>
      <c r="BZ1" t="s">
        <v>314</v>
      </c>
      <c r="CA1" t="s">
        <v>144</v>
      </c>
      <c r="CB1" t="s">
        <v>145</v>
      </c>
      <c r="CC1" t="s">
        <v>146</v>
      </c>
      <c r="CD1" t="s">
        <v>147</v>
      </c>
      <c r="CE1" t="s">
        <v>148</v>
      </c>
      <c r="CF1" t="s">
        <v>315</v>
      </c>
      <c r="CG1" t="s">
        <v>316</v>
      </c>
      <c r="CH1" t="s">
        <v>149</v>
      </c>
      <c r="CI1" t="s">
        <v>150</v>
      </c>
      <c r="CJ1" t="s">
        <v>151</v>
      </c>
      <c r="CK1" t="s">
        <v>152</v>
      </c>
      <c r="CL1" t="s">
        <v>153</v>
      </c>
      <c r="CM1" t="s">
        <v>317</v>
      </c>
      <c r="CN1" t="s">
        <v>318</v>
      </c>
      <c r="CO1" t="s">
        <v>154</v>
      </c>
      <c r="CP1" t="s">
        <v>155</v>
      </c>
      <c r="CQ1" t="s">
        <v>156</v>
      </c>
      <c r="CR1" t="s">
        <v>157</v>
      </c>
      <c r="CS1" t="s">
        <v>158</v>
      </c>
      <c r="CT1" t="s">
        <v>319</v>
      </c>
      <c r="CU1" t="s">
        <v>320</v>
      </c>
      <c r="CV1" t="s">
        <v>159</v>
      </c>
      <c r="CW1" t="s">
        <v>160</v>
      </c>
      <c r="CX1" t="s">
        <v>161</v>
      </c>
      <c r="CY1" t="s">
        <v>162</v>
      </c>
      <c r="CZ1" t="s">
        <v>163</v>
      </c>
      <c r="DA1" t="s">
        <v>321</v>
      </c>
      <c r="DB1" t="s">
        <v>322</v>
      </c>
      <c r="DC1" t="s">
        <v>164</v>
      </c>
      <c r="DD1" t="s">
        <v>165</v>
      </c>
      <c r="DE1" t="s">
        <v>166</v>
      </c>
      <c r="DF1" t="s">
        <v>167</v>
      </c>
      <c r="DG1" t="s">
        <v>168</v>
      </c>
      <c r="DH1" t="s">
        <v>323</v>
      </c>
      <c r="DI1" t="s">
        <v>324</v>
      </c>
      <c r="DJ1" t="s">
        <v>169</v>
      </c>
      <c r="DK1" t="s">
        <v>170</v>
      </c>
      <c r="DL1" t="s">
        <v>171</v>
      </c>
      <c r="DM1" t="s">
        <v>172</v>
      </c>
      <c r="DN1" t="s">
        <v>173</v>
      </c>
      <c r="DO1" t="s">
        <v>325</v>
      </c>
      <c r="DP1" t="s">
        <v>326</v>
      </c>
      <c r="DQ1" t="s">
        <v>174</v>
      </c>
      <c r="DR1" t="s">
        <v>175</v>
      </c>
      <c r="DS1" t="s">
        <v>176</v>
      </c>
      <c r="DT1" t="s">
        <v>177</v>
      </c>
      <c r="DU1" t="s">
        <v>178</v>
      </c>
      <c r="DV1" t="s">
        <v>327</v>
      </c>
      <c r="DW1" t="s">
        <v>328</v>
      </c>
      <c r="DX1" t="s">
        <v>179</v>
      </c>
      <c r="DY1" t="s">
        <v>180</v>
      </c>
      <c r="DZ1" t="s">
        <v>181</v>
      </c>
      <c r="EA1" t="s">
        <v>182</v>
      </c>
      <c r="EB1" t="s">
        <v>183</v>
      </c>
      <c r="EC1" t="s">
        <v>329</v>
      </c>
      <c r="ED1" t="s">
        <v>330</v>
      </c>
      <c r="EE1" t="s">
        <v>184</v>
      </c>
      <c r="EF1" t="s">
        <v>185</v>
      </c>
      <c r="EG1" t="s">
        <v>186</v>
      </c>
      <c r="EH1" t="s">
        <v>187</v>
      </c>
      <c r="EI1" t="s">
        <v>188</v>
      </c>
      <c r="EJ1" t="s">
        <v>331</v>
      </c>
      <c r="EK1" t="s">
        <v>332</v>
      </c>
      <c r="EL1" t="s">
        <v>189</v>
      </c>
      <c r="EM1" t="s">
        <v>190</v>
      </c>
      <c r="EN1" t="s">
        <v>191</v>
      </c>
      <c r="EO1" t="s">
        <v>192</v>
      </c>
      <c r="EP1" t="s">
        <v>193</v>
      </c>
      <c r="EQ1" t="s">
        <v>194</v>
      </c>
    </row>
    <row r="2" spans="1:147" x14ac:dyDescent="0.25">
      <c r="A2" t="s">
        <v>231</v>
      </c>
      <c r="D2">
        <v>6</v>
      </c>
      <c r="E2">
        <v>2</v>
      </c>
      <c r="F2">
        <v>6</v>
      </c>
      <c r="G2">
        <v>2</v>
      </c>
      <c r="H2">
        <v>6</v>
      </c>
      <c r="I2">
        <v>2</v>
      </c>
      <c r="J2">
        <v>6</v>
      </c>
      <c r="K2">
        <v>2</v>
      </c>
      <c r="L2">
        <v>6</v>
      </c>
      <c r="M2">
        <v>2</v>
      </c>
      <c r="N2">
        <v>6</v>
      </c>
      <c r="O2">
        <v>2</v>
      </c>
      <c r="P2">
        <v>2</v>
      </c>
      <c r="Q2">
        <v>2</v>
      </c>
      <c r="R2">
        <v>2</v>
      </c>
      <c r="S2">
        <v>2</v>
      </c>
      <c r="T2">
        <v>4</v>
      </c>
      <c r="U2">
        <v>4</v>
      </c>
      <c r="V2">
        <v>0</v>
      </c>
      <c r="W2">
        <v>2.5</v>
      </c>
      <c r="X2">
        <v>5.5</v>
      </c>
      <c r="Y2">
        <v>12</v>
      </c>
      <c r="Z2">
        <v>12</v>
      </c>
      <c r="AA2">
        <v>9</v>
      </c>
      <c r="AB2">
        <v>767</v>
      </c>
      <c r="AC2">
        <v>765</v>
      </c>
      <c r="AD2">
        <v>765</v>
      </c>
      <c r="AE2">
        <v>873</v>
      </c>
      <c r="AF2">
        <v>816</v>
      </c>
      <c r="AG2">
        <v>932</v>
      </c>
      <c r="AH2">
        <v>10</v>
      </c>
      <c r="AI2">
        <v>106</v>
      </c>
      <c r="AJ2">
        <v>113</v>
      </c>
      <c r="AK2">
        <v>125</v>
      </c>
      <c r="AL2">
        <v>145</v>
      </c>
      <c r="AM2">
        <v>137</v>
      </c>
      <c r="AN2">
        <v>125</v>
      </c>
      <c r="AO2">
        <v>11</v>
      </c>
      <c r="AP2">
        <v>325</v>
      </c>
      <c r="AQ2">
        <v>302</v>
      </c>
      <c r="AR2">
        <v>303</v>
      </c>
      <c r="AS2">
        <v>356</v>
      </c>
      <c r="AT2">
        <v>310</v>
      </c>
      <c r="AU2">
        <v>322</v>
      </c>
      <c r="AV2">
        <v>7</v>
      </c>
      <c r="AW2">
        <v>240</v>
      </c>
      <c r="AX2">
        <v>263</v>
      </c>
      <c r="AY2">
        <v>258</v>
      </c>
      <c r="AZ2">
        <v>277</v>
      </c>
      <c r="BA2">
        <v>273</v>
      </c>
      <c r="BB2">
        <v>365</v>
      </c>
      <c r="BC2">
        <v>4</v>
      </c>
      <c r="BD2">
        <v>96</v>
      </c>
      <c r="BE2">
        <v>87</v>
      </c>
      <c r="BF2">
        <v>79</v>
      </c>
      <c r="BG2">
        <v>95</v>
      </c>
      <c r="BH2">
        <v>96</v>
      </c>
      <c r="BI2">
        <v>120</v>
      </c>
      <c r="BJ2">
        <v>6</v>
      </c>
      <c r="BK2">
        <v>747</v>
      </c>
      <c r="BL2">
        <v>800</v>
      </c>
      <c r="BM2">
        <v>853</v>
      </c>
      <c r="BN2">
        <v>875</v>
      </c>
      <c r="BO2">
        <v>888</v>
      </c>
      <c r="BP2" s="1">
        <v>876</v>
      </c>
      <c r="BQ2">
        <v>10</v>
      </c>
      <c r="BR2">
        <v>38</v>
      </c>
      <c r="BS2">
        <v>38</v>
      </c>
      <c r="BT2">
        <v>46</v>
      </c>
      <c r="BU2">
        <v>32</v>
      </c>
      <c r="BV2">
        <v>25</v>
      </c>
      <c r="BW2">
        <v>52</v>
      </c>
      <c r="BX2">
        <v>7</v>
      </c>
      <c r="BY2">
        <v>277</v>
      </c>
      <c r="BZ2">
        <v>300</v>
      </c>
      <c r="CA2">
        <v>324</v>
      </c>
      <c r="CB2">
        <v>318</v>
      </c>
      <c r="CC2">
        <v>353</v>
      </c>
      <c r="CD2">
        <v>329</v>
      </c>
      <c r="CE2">
        <v>9</v>
      </c>
      <c r="CF2">
        <v>470</v>
      </c>
      <c r="CG2">
        <v>462</v>
      </c>
      <c r="CH2">
        <v>483</v>
      </c>
      <c r="CI2">
        <v>525</v>
      </c>
      <c r="CJ2">
        <v>510</v>
      </c>
      <c r="CK2">
        <v>495</v>
      </c>
      <c r="CL2">
        <v>9</v>
      </c>
      <c r="CM2">
        <v>51</v>
      </c>
      <c r="CN2">
        <v>58</v>
      </c>
      <c r="CO2">
        <v>54</v>
      </c>
      <c r="CP2">
        <v>56</v>
      </c>
      <c r="CQ2">
        <v>43</v>
      </c>
      <c r="CR2">
        <v>36</v>
      </c>
      <c r="CS2">
        <v>10</v>
      </c>
      <c r="CT2">
        <v>221</v>
      </c>
      <c r="CU2">
        <v>178</v>
      </c>
      <c r="CV2">
        <v>189</v>
      </c>
      <c r="CW2">
        <v>178</v>
      </c>
      <c r="CX2">
        <v>179</v>
      </c>
      <c r="CY2">
        <v>188</v>
      </c>
      <c r="CZ2">
        <v>6</v>
      </c>
      <c r="DA2">
        <v>153</v>
      </c>
      <c r="DB2">
        <v>167</v>
      </c>
      <c r="DC2">
        <v>176</v>
      </c>
      <c r="DD2">
        <v>221</v>
      </c>
      <c r="DE2">
        <v>210</v>
      </c>
      <c r="DF2">
        <v>199</v>
      </c>
      <c r="DG2">
        <v>6</v>
      </c>
      <c r="DH2">
        <v>45</v>
      </c>
      <c r="DI2">
        <v>59</v>
      </c>
      <c r="DJ2">
        <v>64</v>
      </c>
      <c r="DK2">
        <v>70</v>
      </c>
      <c r="DL2">
        <v>78</v>
      </c>
      <c r="DM2">
        <v>72</v>
      </c>
      <c r="DN2">
        <v>6</v>
      </c>
      <c r="DO2">
        <v>644</v>
      </c>
      <c r="DP2">
        <v>653</v>
      </c>
      <c r="DQ2">
        <v>645</v>
      </c>
      <c r="DR2">
        <v>732</v>
      </c>
      <c r="DS2">
        <v>732</v>
      </c>
      <c r="DT2">
        <v>800</v>
      </c>
      <c r="DU2">
        <v>6</v>
      </c>
      <c r="DV2">
        <v>11.6</v>
      </c>
      <c r="DW2">
        <v>11.9</v>
      </c>
      <c r="DX2">
        <v>11.7</v>
      </c>
      <c r="DY2">
        <v>12.2</v>
      </c>
      <c r="DZ2">
        <v>13.3</v>
      </c>
      <c r="EA2">
        <v>12.7</v>
      </c>
      <c r="EB2">
        <v>9</v>
      </c>
      <c r="EC2">
        <v>2</v>
      </c>
      <c r="ED2">
        <v>1</v>
      </c>
      <c r="EE2">
        <v>1</v>
      </c>
      <c r="EF2">
        <v>1</v>
      </c>
      <c r="EG2">
        <v>2</v>
      </c>
      <c r="EH2">
        <v>1</v>
      </c>
      <c r="EI2">
        <v>3</v>
      </c>
      <c r="EJ2">
        <v>61</v>
      </c>
      <c r="EK2">
        <v>48</v>
      </c>
      <c r="EL2">
        <v>53</v>
      </c>
      <c r="EM2">
        <v>65</v>
      </c>
      <c r="EN2">
        <v>44</v>
      </c>
      <c r="EO2">
        <v>43</v>
      </c>
      <c r="EP2">
        <v>5</v>
      </c>
      <c r="EQ2">
        <v>5</v>
      </c>
    </row>
    <row r="3" spans="1:147" x14ac:dyDescent="0.25">
      <c r="A3" t="s">
        <v>232</v>
      </c>
      <c r="D3">
        <v>13</v>
      </c>
      <c r="E3">
        <v>4.3</v>
      </c>
      <c r="F3">
        <v>13</v>
      </c>
      <c r="G3">
        <v>4.3</v>
      </c>
      <c r="H3">
        <v>13</v>
      </c>
      <c r="I3">
        <v>4.3</v>
      </c>
      <c r="J3">
        <v>13</v>
      </c>
      <c r="K3">
        <v>4.3</v>
      </c>
      <c r="L3">
        <v>13</v>
      </c>
      <c r="M3">
        <v>4.3</v>
      </c>
      <c r="N3">
        <v>13</v>
      </c>
      <c r="O3">
        <v>4.3</v>
      </c>
      <c r="P3">
        <v>13</v>
      </c>
      <c r="Q3">
        <v>12</v>
      </c>
      <c r="R3">
        <v>12</v>
      </c>
      <c r="S3">
        <v>12</v>
      </c>
      <c r="T3">
        <v>11</v>
      </c>
      <c r="U3">
        <v>9</v>
      </c>
      <c r="V3">
        <v>15.3</v>
      </c>
      <c r="W3">
        <v>39.200000000000003</v>
      </c>
      <c r="X3">
        <v>42.3</v>
      </c>
      <c r="Y3">
        <v>17.399999999999999</v>
      </c>
      <c r="Z3">
        <v>2.5</v>
      </c>
      <c r="AA3">
        <v>7.2</v>
      </c>
      <c r="AB3" s="1">
        <v>1306</v>
      </c>
      <c r="AC3" s="1">
        <v>1260</v>
      </c>
      <c r="AD3" s="1">
        <v>1239</v>
      </c>
      <c r="AE3" s="1">
        <v>1326</v>
      </c>
      <c r="AF3" s="1">
        <v>1593</v>
      </c>
      <c r="AG3" s="1">
        <v>1462</v>
      </c>
      <c r="AH3">
        <v>3</v>
      </c>
      <c r="AI3">
        <v>233</v>
      </c>
      <c r="AJ3">
        <v>233</v>
      </c>
      <c r="AK3">
        <v>233</v>
      </c>
      <c r="AL3">
        <v>196</v>
      </c>
      <c r="AM3">
        <v>231</v>
      </c>
      <c r="AN3">
        <v>247</v>
      </c>
      <c r="AO3">
        <v>8</v>
      </c>
      <c r="AP3">
        <v>537</v>
      </c>
      <c r="AQ3">
        <v>515</v>
      </c>
      <c r="AR3">
        <v>505</v>
      </c>
      <c r="AS3">
        <v>521</v>
      </c>
      <c r="AT3">
        <v>459</v>
      </c>
      <c r="AU3">
        <v>462</v>
      </c>
      <c r="AV3">
        <v>2</v>
      </c>
      <c r="AW3">
        <v>191</v>
      </c>
      <c r="AX3">
        <v>191</v>
      </c>
      <c r="AY3">
        <v>188</v>
      </c>
      <c r="AZ3">
        <v>216</v>
      </c>
      <c r="BA3">
        <v>213</v>
      </c>
      <c r="BB3">
        <v>229</v>
      </c>
      <c r="BC3">
        <v>7</v>
      </c>
      <c r="BD3">
        <v>345</v>
      </c>
      <c r="BE3">
        <v>321</v>
      </c>
      <c r="BF3">
        <v>313</v>
      </c>
      <c r="BG3">
        <v>393</v>
      </c>
      <c r="BH3">
        <v>690</v>
      </c>
      <c r="BI3">
        <v>524</v>
      </c>
      <c r="BJ3">
        <v>1</v>
      </c>
      <c r="BK3" s="1">
        <v>1194</v>
      </c>
      <c r="BL3" s="1">
        <v>1329</v>
      </c>
      <c r="BM3" s="1">
        <v>1454</v>
      </c>
      <c r="BN3" s="1">
        <v>1573</v>
      </c>
      <c r="BO3" s="1">
        <v>1485</v>
      </c>
      <c r="BP3" s="1">
        <v>1668</v>
      </c>
      <c r="BQ3">
        <v>4</v>
      </c>
      <c r="BR3">
        <v>70</v>
      </c>
      <c r="BS3">
        <v>78</v>
      </c>
      <c r="BT3">
        <v>120</v>
      </c>
      <c r="BU3">
        <v>81</v>
      </c>
      <c r="BV3">
        <v>90</v>
      </c>
      <c r="BW3">
        <v>93</v>
      </c>
      <c r="BX3">
        <v>1</v>
      </c>
      <c r="BY3">
        <v>512</v>
      </c>
      <c r="BZ3">
        <v>519</v>
      </c>
      <c r="CA3">
        <v>572</v>
      </c>
      <c r="CB3">
        <v>747</v>
      </c>
      <c r="CC3">
        <v>735</v>
      </c>
      <c r="CD3" s="1">
        <v>909</v>
      </c>
      <c r="CE3">
        <v>4</v>
      </c>
      <c r="CF3">
        <v>682</v>
      </c>
      <c r="CG3">
        <v>732</v>
      </c>
      <c r="CH3">
        <v>762</v>
      </c>
      <c r="CI3">
        <v>745</v>
      </c>
      <c r="CJ3">
        <v>660</v>
      </c>
      <c r="CK3">
        <v>666</v>
      </c>
      <c r="CL3">
        <v>5</v>
      </c>
      <c r="CM3">
        <v>90</v>
      </c>
      <c r="CN3">
        <v>61</v>
      </c>
      <c r="CO3">
        <v>58</v>
      </c>
      <c r="CP3">
        <v>36</v>
      </c>
      <c r="CQ3">
        <v>37</v>
      </c>
      <c r="CR3">
        <v>40</v>
      </c>
      <c r="CS3">
        <v>8</v>
      </c>
      <c r="CT3">
        <v>279</v>
      </c>
      <c r="CU3">
        <v>278</v>
      </c>
      <c r="CV3">
        <v>303</v>
      </c>
      <c r="CW3">
        <v>250</v>
      </c>
      <c r="CX3">
        <v>183</v>
      </c>
      <c r="CY3">
        <v>195</v>
      </c>
      <c r="CZ3">
        <v>2</v>
      </c>
      <c r="DA3">
        <v>136</v>
      </c>
      <c r="DB3">
        <v>138</v>
      </c>
      <c r="DC3">
        <v>132</v>
      </c>
      <c r="DD3">
        <v>130</v>
      </c>
      <c r="DE3">
        <v>159</v>
      </c>
      <c r="DF3">
        <v>92</v>
      </c>
      <c r="DG3">
        <v>7</v>
      </c>
      <c r="DH3">
        <v>177</v>
      </c>
      <c r="DI3">
        <v>255</v>
      </c>
      <c r="DJ3">
        <v>269</v>
      </c>
      <c r="DK3">
        <v>329</v>
      </c>
      <c r="DL3">
        <v>281</v>
      </c>
      <c r="DM3">
        <v>339</v>
      </c>
      <c r="DN3">
        <v>2</v>
      </c>
      <c r="DO3" s="1">
        <v>1125</v>
      </c>
      <c r="DP3">
        <v>1011</v>
      </c>
      <c r="DQ3" s="1">
        <v>974</v>
      </c>
      <c r="DR3" s="1">
        <v>1176</v>
      </c>
      <c r="DS3" s="1">
        <v>1380</v>
      </c>
      <c r="DT3" s="1">
        <v>1488</v>
      </c>
      <c r="DU3">
        <v>2</v>
      </c>
      <c r="DV3">
        <v>12.1</v>
      </c>
      <c r="DW3">
        <v>12.6</v>
      </c>
      <c r="DX3">
        <v>13.3</v>
      </c>
      <c r="DY3">
        <v>16.899999999999999</v>
      </c>
      <c r="DZ3">
        <v>17.5</v>
      </c>
      <c r="EA3">
        <v>13.4</v>
      </c>
      <c r="EB3">
        <v>10</v>
      </c>
      <c r="EC3">
        <v>1</v>
      </c>
      <c r="ED3">
        <v>1</v>
      </c>
      <c r="EE3">
        <v>1</v>
      </c>
      <c r="EF3">
        <v>2</v>
      </c>
      <c r="EG3">
        <v>2</v>
      </c>
      <c r="EH3">
        <v>3</v>
      </c>
      <c r="EI3">
        <v>8</v>
      </c>
      <c r="EJ3">
        <v>26</v>
      </c>
      <c r="EK3">
        <v>52</v>
      </c>
      <c r="EL3">
        <v>58</v>
      </c>
      <c r="EM3">
        <v>53</v>
      </c>
      <c r="EN3">
        <v>45</v>
      </c>
      <c r="EO3">
        <v>41</v>
      </c>
      <c r="EP3">
        <v>12</v>
      </c>
      <c r="EQ3">
        <v>7</v>
      </c>
    </row>
    <row r="4" spans="1:147" x14ac:dyDescent="0.25">
      <c r="A4" t="s">
        <v>233</v>
      </c>
      <c r="D4">
        <v>14</v>
      </c>
      <c r="E4">
        <v>4.7</v>
      </c>
      <c r="F4">
        <v>14</v>
      </c>
      <c r="G4">
        <v>4.7</v>
      </c>
      <c r="H4">
        <v>14</v>
      </c>
      <c r="I4">
        <v>4.7</v>
      </c>
      <c r="J4">
        <v>14</v>
      </c>
      <c r="K4">
        <v>4.7</v>
      </c>
      <c r="L4">
        <v>14</v>
      </c>
      <c r="M4">
        <v>4.7</v>
      </c>
      <c r="N4">
        <v>14</v>
      </c>
      <c r="O4">
        <v>4.7</v>
      </c>
      <c r="P4">
        <v>10</v>
      </c>
      <c r="Q4">
        <v>9</v>
      </c>
      <c r="R4">
        <v>9</v>
      </c>
      <c r="S4">
        <v>9</v>
      </c>
      <c r="T4">
        <v>9</v>
      </c>
      <c r="U4">
        <v>9</v>
      </c>
      <c r="V4">
        <v>6</v>
      </c>
      <c r="W4">
        <v>4.9000000000000004</v>
      </c>
      <c r="X4">
        <v>10.9</v>
      </c>
      <c r="Y4">
        <v>24</v>
      </c>
      <c r="Z4">
        <v>24</v>
      </c>
      <c r="AA4">
        <v>30.9</v>
      </c>
      <c r="AB4">
        <v>798</v>
      </c>
      <c r="AC4">
        <v>833</v>
      </c>
      <c r="AD4">
        <v>847</v>
      </c>
      <c r="AE4">
        <v>804</v>
      </c>
      <c r="AF4">
        <v>869</v>
      </c>
      <c r="AG4" s="1">
        <v>841</v>
      </c>
      <c r="AH4">
        <v>8</v>
      </c>
      <c r="AI4">
        <v>232</v>
      </c>
      <c r="AJ4">
        <v>242</v>
      </c>
      <c r="AK4">
        <v>240</v>
      </c>
      <c r="AL4">
        <v>193</v>
      </c>
      <c r="AM4">
        <v>235</v>
      </c>
      <c r="AN4">
        <v>243</v>
      </c>
      <c r="AO4">
        <v>9</v>
      </c>
      <c r="AP4">
        <v>313</v>
      </c>
      <c r="AQ4">
        <v>344</v>
      </c>
      <c r="AR4">
        <v>342</v>
      </c>
      <c r="AS4">
        <v>298</v>
      </c>
      <c r="AT4">
        <v>319</v>
      </c>
      <c r="AU4">
        <v>305</v>
      </c>
      <c r="AV4">
        <v>8</v>
      </c>
      <c r="AW4">
        <v>155</v>
      </c>
      <c r="AX4">
        <v>145</v>
      </c>
      <c r="AY4">
        <v>149</v>
      </c>
      <c r="AZ4">
        <v>173</v>
      </c>
      <c r="BA4">
        <v>186</v>
      </c>
      <c r="BB4">
        <v>150</v>
      </c>
      <c r="BC4">
        <v>10</v>
      </c>
      <c r="BD4">
        <v>98</v>
      </c>
      <c r="BE4">
        <v>102</v>
      </c>
      <c r="BF4">
        <v>116</v>
      </c>
      <c r="BG4">
        <v>140</v>
      </c>
      <c r="BH4">
        <v>129</v>
      </c>
      <c r="BI4">
        <v>143</v>
      </c>
      <c r="BJ4">
        <v>5</v>
      </c>
      <c r="BK4">
        <v>891</v>
      </c>
      <c r="BL4">
        <v>911</v>
      </c>
      <c r="BM4">
        <v>908</v>
      </c>
      <c r="BN4">
        <v>857</v>
      </c>
      <c r="BO4">
        <v>855</v>
      </c>
      <c r="BP4">
        <v>871</v>
      </c>
      <c r="BQ4">
        <v>7</v>
      </c>
      <c r="BR4">
        <v>13</v>
      </c>
      <c r="BS4">
        <v>14</v>
      </c>
      <c r="BT4">
        <v>15</v>
      </c>
      <c r="BU4">
        <v>7</v>
      </c>
      <c r="BV4">
        <v>8</v>
      </c>
      <c r="BW4">
        <v>10</v>
      </c>
      <c r="BX4">
        <v>12</v>
      </c>
      <c r="BY4">
        <v>338</v>
      </c>
      <c r="BZ4">
        <v>375</v>
      </c>
      <c r="CA4">
        <v>361</v>
      </c>
      <c r="CB4">
        <v>350</v>
      </c>
      <c r="CC4">
        <v>354</v>
      </c>
      <c r="CD4">
        <v>379</v>
      </c>
      <c r="CE4">
        <v>7</v>
      </c>
      <c r="CF4">
        <v>553</v>
      </c>
      <c r="CG4">
        <v>522</v>
      </c>
      <c r="CH4">
        <v>532</v>
      </c>
      <c r="CI4">
        <v>500</v>
      </c>
      <c r="CJ4">
        <v>493</v>
      </c>
      <c r="CK4">
        <v>482</v>
      </c>
      <c r="CL4">
        <v>7</v>
      </c>
      <c r="CM4">
        <v>112</v>
      </c>
      <c r="CN4">
        <v>67</v>
      </c>
      <c r="CO4">
        <v>67</v>
      </c>
      <c r="CP4">
        <v>68</v>
      </c>
      <c r="CQ4">
        <v>73</v>
      </c>
      <c r="CR4">
        <v>78</v>
      </c>
      <c r="CS4">
        <v>5</v>
      </c>
      <c r="CT4">
        <v>215</v>
      </c>
      <c r="CU4">
        <v>201</v>
      </c>
      <c r="CV4">
        <v>204</v>
      </c>
      <c r="CW4">
        <v>197</v>
      </c>
      <c r="CX4">
        <v>179</v>
      </c>
      <c r="CY4">
        <v>199</v>
      </c>
      <c r="CZ4">
        <v>7</v>
      </c>
      <c r="DA4">
        <v>135</v>
      </c>
      <c r="DB4">
        <v>146</v>
      </c>
      <c r="DC4">
        <v>148</v>
      </c>
      <c r="DD4">
        <v>161</v>
      </c>
      <c r="DE4">
        <v>129</v>
      </c>
      <c r="DF4">
        <v>118</v>
      </c>
      <c r="DG4">
        <v>8</v>
      </c>
      <c r="DH4">
        <v>91</v>
      </c>
      <c r="DI4">
        <v>108</v>
      </c>
      <c r="DJ4">
        <v>113</v>
      </c>
      <c r="DK4">
        <v>74</v>
      </c>
      <c r="DL4">
        <v>112</v>
      </c>
      <c r="DM4">
        <v>87</v>
      </c>
      <c r="DN4">
        <v>3</v>
      </c>
      <c r="DO4">
        <v>522</v>
      </c>
      <c r="DP4">
        <v>620</v>
      </c>
      <c r="DQ4">
        <v>668</v>
      </c>
      <c r="DR4">
        <v>729</v>
      </c>
      <c r="DS4">
        <v>808</v>
      </c>
      <c r="DT4">
        <v>793</v>
      </c>
      <c r="DU4">
        <v>8</v>
      </c>
      <c r="DV4">
        <v>9.1999999999999993</v>
      </c>
      <c r="DW4">
        <v>11.7</v>
      </c>
      <c r="DX4">
        <v>12.1</v>
      </c>
      <c r="DY4">
        <v>13.1</v>
      </c>
      <c r="DZ4">
        <v>14.7</v>
      </c>
      <c r="EA4">
        <v>13.6</v>
      </c>
      <c r="EB4">
        <v>5</v>
      </c>
      <c r="EC4">
        <v>2</v>
      </c>
      <c r="ED4">
        <v>2</v>
      </c>
      <c r="EE4">
        <v>2</v>
      </c>
      <c r="EF4">
        <v>2</v>
      </c>
      <c r="EG4">
        <v>2</v>
      </c>
      <c r="EH4">
        <v>3</v>
      </c>
      <c r="EI4">
        <v>3</v>
      </c>
      <c r="EJ4">
        <v>111</v>
      </c>
      <c r="EK4">
        <v>113</v>
      </c>
      <c r="EL4">
        <v>110</v>
      </c>
      <c r="EM4">
        <v>83</v>
      </c>
      <c r="EN4">
        <v>52</v>
      </c>
      <c r="EO4">
        <v>56</v>
      </c>
      <c r="EP4">
        <v>1</v>
      </c>
      <c r="EQ4">
        <v>9</v>
      </c>
    </row>
    <row r="5" spans="1:147" x14ac:dyDescent="0.25">
      <c r="A5" t="s">
        <v>234</v>
      </c>
      <c r="D5">
        <v>15</v>
      </c>
      <c r="E5">
        <v>5</v>
      </c>
      <c r="F5">
        <v>15</v>
      </c>
      <c r="G5">
        <v>5</v>
      </c>
      <c r="H5">
        <v>15</v>
      </c>
      <c r="I5">
        <v>5</v>
      </c>
      <c r="J5">
        <v>15</v>
      </c>
      <c r="K5">
        <v>5</v>
      </c>
      <c r="L5">
        <v>15</v>
      </c>
      <c r="M5">
        <v>5</v>
      </c>
      <c r="N5">
        <v>15</v>
      </c>
      <c r="O5">
        <v>5</v>
      </c>
      <c r="P5">
        <v>1</v>
      </c>
      <c r="Q5">
        <v>1</v>
      </c>
      <c r="R5">
        <v>1</v>
      </c>
      <c r="S5">
        <v>1</v>
      </c>
      <c r="T5">
        <v>2</v>
      </c>
      <c r="U5">
        <v>2</v>
      </c>
      <c r="V5">
        <v>18.2</v>
      </c>
      <c r="W5">
        <v>32.6</v>
      </c>
      <c r="X5">
        <v>40.4</v>
      </c>
      <c r="Y5">
        <v>50.8</v>
      </c>
      <c r="Z5">
        <v>55.6</v>
      </c>
      <c r="AA5">
        <v>41.4</v>
      </c>
      <c r="AB5">
        <v>927</v>
      </c>
      <c r="AC5">
        <v>957</v>
      </c>
      <c r="AD5" s="1">
        <v>971</v>
      </c>
      <c r="AE5">
        <v>1062</v>
      </c>
      <c r="AF5">
        <v>1037</v>
      </c>
      <c r="AG5" s="1">
        <v>908</v>
      </c>
      <c r="AH5">
        <v>5</v>
      </c>
      <c r="AI5">
        <v>288</v>
      </c>
      <c r="AJ5">
        <v>286</v>
      </c>
      <c r="AK5">
        <v>292</v>
      </c>
      <c r="AL5">
        <v>480</v>
      </c>
      <c r="AM5">
        <v>480</v>
      </c>
      <c r="AN5">
        <v>348</v>
      </c>
      <c r="AO5">
        <v>4</v>
      </c>
      <c r="AP5">
        <v>279</v>
      </c>
      <c r="AQ5">
        <v>278</v>
      </c>
      <c r="AR5">
        <v>278</v>
      </c>
      <c r="AS5">
        <v>273</v>
      </c>
      <c r="AT5">
        <v>251</v>
      </c>
      <c r="AU5">
        <v>253</v>
      </c>
      <c r="AV5">
        <v>10</v>
      </c>
      <c r="AW5">
        <v>305</v>
      </c>
      <c r="AX5">
        <v>342</v>
      </c>
      <c r="AY5">
        <v>353</v>
      </c>
      <c r="AZ5">
        <v>248</v>
      </c>
      <c r="BA5">
        <v>242</v>
      </c>
      <c r="BB5">
        <v>247</v>
      </c>
      <c r="BC5">
        <v>3</v>
      </c>
      <c r="BD5">
        <v>55</v>
      </c>
      <c r="BE5">
        <v>51</v>
      </c>
      <c r="BF5">
        <v>48</v>
      </c>
      <c r="BG5">
        <v>61</v>
      </c>
      <c r="BH5">
        <v>64</v>
      </c>
      <c r="BI5">
        <v>60</v>
      </c>
      <c r="BJ5">
        <v>9</v>
      </c>
      <c r="BK5">
        <v>1033</v>
      </c>
      <c r="BL5" s="1">
        <v>951</v>
      </c>
      <c r="BM5" s="1">
        <v>990</v>
      </c>
      <c r="BN5">
        <v>1056</v>
      </c>
      <c r="BO5">
        <v>934</v>
      </c>
      <c r="BP5" s="1">
        <v>980</v>
      </c>
      <c r="BQ5">
        <v>5</v>
      </c>
      <c r="BR5">
        <v>37</v>
      </c>
      <c r="BS5">
        <v>24</v>
      </c>
      <c r="BT5">
        <v>25</v>
      </c>
      <c r="BU5">
        <v>34</v>
      </c>
      <c r="BV5">
        <v>35</v>
      </c>
      <c r="BW5">
        <v>49</v>
      </c>
      <c r="BX5">
        <v>8</v>
      </c>
      <c r="BY5">
        <v>320</v>
      </c>
      <c r="BZ5">
        <v>363</v>
      </c>
      <c r="CA5">
        <v>386</v>
      </c>
      <c r="CB5">
        <v>437</v>
      </c>
      <c r="CC5">
        <v>383</v>
      </c>
      <c r="CD5">
        <v>383</v>
      </c>
      <c r="CE5">
        <v>8</v>
      </c>
      <c r="CF5">
        <v>713</v>
      </c>
      <c r="CG5">
        <v>564</v>
      </c>
      <c r="CH5">
        <v>579</v>
      </c>
      <c r="CI5">
        <v>585</v>
      </c>
      <c r="CJ5">
        <v>516</v>
      </c>
      <c r="CK5">
        <v>548</v>
      </c>
      <c r="CL5">
        <v>4</v>
      </c>
      <c r="CM5">
        <v>122</v>
      </c>
      <c r="CN5">
        <v>87</v>
      </c>
      <c r="CO5">
        <v>123</v>
      </c>
      <c r="CP5">
        <v>197</v>
      </c>
      <c r="CQ5">
        <v>128</v>
      </c>
      <c r="CR5">
        <v>120</v>
      </c>
      <c r="CS5">
        <v>3</v>
      </c>
      <c r="CT5">
        <v>214</v>
      </c>
      <c r="CU5">
        <v>170</v>
      </c>
      <c r="CV5">
        <v>171</v>
      </c>
      <c r="CW5">
        <v>169</v>
      </c>
      <c r="CX5">
        <v>161</v>
      </c>
      <c r="CY5">
        <v>172</v>
      </c>
      <c r="CZ5">
        <v>8</v>
      </c>
      <c r="DA5">
        <v>345</v>
      </c>
      <c r="DB5">
        <v>273</v>
      </c>
      <c r="DC5">
        <v>246</v>
      </c>
      <c r="DD5">
        <v>176</v>
      </c>
      <c r="DE5">
        <v>183</v>
      </c>
      <c r="DF5">
        <v>203</v>
      </c>
      <c r="DG5">
        <v>1</v>
      </c>
      <c r="DH5">
        <v>32</v>
      </c>
      <c r="DI5">
        <v>34</v>
      </c>
      <c r="DJ5">
        <v>39</v>
      </c>
      <c r="DK5">
        <v>43</v>
      </c>
      <c r="DL5">
        <v>44</v>
      </c>
      <c r="DM5">
        <v>53</v>
      </c>
      <c r="DN5">
        <v>9</v>
      </c>
      <c r="DO5">
        <v>515</v>
      </c>
      <c r="DP5">
        <v>621</v>
      </c>
      <c r="DQ5">
        <v>646</v>
      </c>
      <c r="DR5">
        <v>669</v>
      </c>
      <c r="DS5">
        <v>662</v>
      </c>
      <c r="DT5">
        <v>559</v>
      </c>
      <c r="DU5">
        <v>9</v>
      </c>
      <c r="DV5">
        <v>7.9</v>
      </c>
      <c r="DW5">
        <v>9.5</v>
      </c>
      <c r="DX5">
        <v>9.1</v>
      </c>
      <c r="DY5">
        <v>8.1999999999999993</v>
      </c>
      <c r="DZ5">
        <v>8.4</v>
      </c>
      <c r="EA5">
        <v>8.8000000000000007</v>
      </c>
      <c r="EB5">
        <v>2</v>
      </c>
      <c r="EC5">
        <v>2</v>
      </c>
      <c r="ED5">
        <v>2</v>
      </c>
      <c r="EE5">
        <v>2</v>
      </c>
      <c r="EF5">
        <v>3</v>
      </c>
      <c r="EG5">
        <v>1</v>
      </c>
      <c r="EH5">
        <v>1</v>
      </c>
      <c r="EI5">
        <v>3</v>
      </c>
      <c r="EJ5">
        <v>66</v>
      </c>
      <c r="EK5">
        <v>61</v>
      </c>
      <c r="EL5">
        <v>63</v>
      </c>
      <c r="EM5">
        <v>67</v>
      </c>
      <c r="EN5">
        <v>58</v>
      </c>
      <c r="EO5">
        <v>97</v>
      </c>
      <c r="EP5">
        <v>4</v>
      </c>
      <c r="EQ5">
        <v>11</v>
      </c>
    </row>
    <row r="6" spans="1:147" x14ac:dyDescent="0.25">
      <c r="A6" t="s">
        <v>235</v>
      </c>
      <c r="D6">
        <v>17</v>
      </c>
      <c r="E6">
        <v>5.7</v>
      </c>
      <c r="F6">
        <v>17</v>
      </c>
      <c r="G6">
        <v>5.7</v>
      </c>
      <c r="H6">
        <v>17</v>
      </c>
      <c r="I6">
        <v>5.7</v>
      </c>
      <c r="J6">
        <v>17</v>
      </c>
      <c r="K6">
        <v>5.7</v>
      </c>
      <c r="L6">
        <v>17</v>
      </c>
      <c r="M6">
        <v>5.7</v>
      </c>
      <c r="N6">
        <v>17</v>
      </c>
      <c r="O6">
        <v>5.7</v>
      </c>
      <c r="P6">
        <v>6</v>
      </c>
      <c r="Q6">
        <v>6</v>
      </c>
      <c r="R6">
        <v>5</v>
      </c>
      <c r="S6">
        <v>5</v>
      </c>
      <c r="T6">
        <v>4</v>
      </c>
      <c r="U6">
        <v>4</v>
      </c>
      <c r="V6">
        <v>11.4</v>
      </c>
      <c r="W6">
        <v>24</v>
      </c>
      <c r="X6">
        <v>12</v>
      </c>
      <c r="Y6">
        <v>1.7</v>
      </c>
      <c r="Z6">
        <v>7.2</v>
      </c>
      <c r="AA6">
        <v>27</v>
      </c>
      <c r="AB6" s="1">
        <v>1308</v>
      </c>
      <c r="AC6" s="1">
        <v>1326</v>
      </c>
      <c r="AD6" s="1">
        <v>1317</v>
      </c>
      <c r="AE6" s="1">
        <v>1279</v>
      </c>
      <c r="AF6" s="1">
        <v>1353</v>
      </c>
      <c r="AG6" s="1">
        <v>1421</v>
      </c>
      <c r="AH6">
        <v>2</v>
      </c>
      <c r="AI6">
        <v>403</v>
      </c>
      <c r="AJ6">
        <v>417</v>
      </c>
      <c r="AK6">
        <v>409</v>
      </c>
      <c r="AL6">
        <v>396</v>
      </c>
      <c r="AM6">
        <v>411</v>
      </c>
      <c r="AN6">
        <v>455</v>
      </c>
      <c r="AO6">
        <v>2</v>
      </c>
      <c r="AP6">
        <v>386</v>
      </c>
      <c r="AQ6">
        <v>382</v>
      </c>
      <c r="AR6">
        <v>379</v>
      </c>
      <c r="AS6">
        <v>351</v>
      </c>
      <c r="AT6">
        <v>382</v>
      </c>
      <c r="AU6">
        <v>421</v>
      </c>
      <c r="AV6">
        <v>4</v>
      </c>
      <c r="AW6">
        <v>443</v>
      </c>
      <c r="AX6">
        <v>432</v>
      </c>
      <c r="AY6">
        <v>430</v>
      </c>
      <c r="AZ6">
        <v>445</v>
      </c>
      <c r="BA6">
        <v>447</v>
      </c>
      <c r="BB6">
        <v>449</v>
      </c>
      <c r="BC6">
        <v>1</v>
      </c>
      <c r="BD6">
        <v>76</v>
      </c>
      <c r="BE6">
        <v>95</v>
      </c>
      <c r="BF6">
        <v>99</v>
      </c>
      <c r="BG6">
        <v>87</v>
      </c>
      <c r="BH6">
        <v>113</v>
      </c>
      <c r="BI6">
        <v>96</v>
      </c>
      <c r="BJ6">
        <v>7</v>
      </c>
      <c r="BK6" s="1">
        <v>1347</v>
      </c>
      <c r="BL6" s="1">
        <v>1329</v>
      </c>
      <c r="BM6" s="1">
        <v>1345</v>
      </c>
      <c r="BN6" s="1">
        <v>1298</v>
      </c>
      <c r="BO6" s="1">
        <v>1427</v>
      </c>
      <c r="BP6" s="1">
        <v>1690</v>
      </c>
      <c r="BQ6">
        <v>2</v>
      </c>
      <c r="BR6">
        <v>46</v>
      </c>
      <c r="BS6">
        <v>21</v>
      </c>
      <c r="BT6">
        <v>21</v>
      </c>
      <c r="BU6">
        <v>22</v>
      </c>
      <c r="BV6">
        <v>18</v>
      </c>
      <c r="BW6">
        <v>27</v>
      </c>
      <c r="BX6">
        <v>3</v>
      </c>
      <c r="BY6">
        <v>623</v>
      </c>
      <c r="BZ6">
        <v>640</v>
      </c>
      <c r="CA6">
        <v>658</v>
      </c>
      <c r="CB6">
        <v>643</v>
      </c>
      <c r="CC6">
        <v>682</v>
      </c>
      <c r="CD6">
        <v>785</v>
      </c>
      <c r="CE6">
        <v>2</v>
      </c>
      <c r="CF6">
        <v>724</v>
      </c>
      <c r="CG6">
        <v>668</v>
      </c>
      <c r="CH6">
        <v>666</v>
      </c>
      <c r="CI6">
        <v>633</v>
      </c>
      <c r="CJ6">
        <v>727</v>
      </c>
      <c r="CK6">
        <v>878</v>
      </c>
      <c r="CL6">
        <v>3</v>
      </c>
      <c r="CM6">
        <v>120</v>
      </c>
      <c r="CN6">
        <v>80</v>
      </c>
      <c r="CO6">
        <v>90</v>
      </c>
      <c r="CP6">
        <v>76</v>
      </c>
      <c r="CQ6">
        <v>92</v>
      </c>
      <c r="CR6">
        <v>92</v>
      </c>
      <c r="CS6">
        <v>4</v>
      </c>
      <c r="CT6">
        <v>234</v>
      </c>
      <c r="CU6">
        <v>207</v>
      </c>
      <c r="CV6">
        <v>205</v>
      </c>
      <c r="CW6">
        <v>222</v>
      </c>
      <c r="CX6">
        <v>244</v>
      </c>
      <c r="CY6">
        <v>236</v>
      </c>
      <c r="CZ6">
        <v>4</v>
      </c>
      <c r="DA6">
        <v>335</v>
      </c>
      <c r="DB6">
        <v>338</v>
      </c>
      <c r="DC6">
        <v>324</v>
      </c>
      <c r="DD6">
        <v>289</v>
      </c>
      <c r="DE6">
        <v>349</v>
      </c>
      <c r="DF6">
        <v>491</v>
      </c>
      <c r="DG6">
        <v>2</v>
      </c>
      <c r="DH6">
        <v>35</v>
      </c>
      <c r="DI6">
        <v>43</v>
      </c>
      <c r="DJ6">
        <v>47</v>
      </c>
      <c r="DK6">
        <v>46</v>
      </c>
      <c r="DL6">
        <v>42</v>
      </c>
      <c r="DM6">
        <v>59</v>
      </c>
      <c r="DN6">
        <v>8</v>
      </c>
      <c r="DO6">
        <v>788</v>
      </c>
      <c r="DP6">
        <v>827</v>
      </c>
      <c r="DQ6">
        <v>841</v>
      </c>
      <c r="DR6">
        <v>870</v>
      </c>
      <c r="DS6" s="1">
        <v>891</v>
      </c>
      <c r="DT6" s="1">
        <v>965</v>
      </c>
      <c r="DU6">
        <v>5</v>
      </c>
      <c r="DV6">
        <v>9.8000000000000007</v>
      </c>
      <c r="DW6">
        <v>10.9</v>
      </c>
      <c r="DX6">
        <v>10.6</v>
      </c>
      <c r="DY6">
        <v>11</v>
      </c>
      <c r="DZ6">
        <v>11.3</v>
      </c>
      <c r="EA6">
        <v>12.1</v>
      </c>
      <c r="EB6">
        <v>7</v>
      </c>
      <c r="EC6">
        <v>1</v>
      </c>
      <c r="ED6">
        <v>1</v>
      </c>
      <c r="EE6">
        <v>1</v>
      </c>
      <c r="EF6">
        <v>1</v>
      </c>
      <c r="EG6">
        <v>1</v>
      </c>
      <c r="EH6">
        <v>1</v>
      </c>
      <c r="EI6">
        <v>8</v>
      </c>
      <c r="EJ6">
        <v>31</v>
      </c>
      <c r="EK6">
        <v>27</v>
      </c>
      <c r="EL6">
        <v>28</v>
      </c>
      <c r="EM6">
        <v>31</v>
      </c>
      <c r="EN6">
        <v>35</v>
      </c>
      <c r="EO6">
        <v>29</v>
      </c>
      <c r="EP6">
        <v>9</v>
      </c>
      <c r="EQ6">
        <v>13</v>
      </c>
    </row>
    <row r="7" spans="1:147" x14ac:dyDescent="0.25">
      <c r="A7" t="s">
        <v>236</v>
      </c>
      <c r="D7">
        <v>16</v>
      </c>
      <c r="E7">
        <v>5.3</v>
      </c>
      <c r="F7">
        <v>16</v>
      </c>
      <c r="G7">
        <v>5.3</v>
      </c>
      <c r="H7">
        <v>16</v>
      </c>
      <c r="I7">
        <v>5.3</v>
      </c>
      <c r="J7">
        <v>16</v>
      </c>
      <c r="K7">
        <v>5.3</v>
      </c>
      <c r="L7">
        <v>16</v>
      </c>
      <c r="M7">
        <v>5.3</v>
      </c>
      <c r="N7">
        <v>16</v>
      </c>
      <c r="O7">
        <v>5.3</v>
      </c>
      <c r="P7">
        <v>9</v>
      </c>
      <c r="Q7">
        <v>10</v>
      </c>
      <c r="R7">
        <v>9</v>
      </c>
      <c r="S7">
        <v>9</v>
      </c>
      <c r="T7">
        <v>8</v>
      </c>
      <c r="U7">
        <v>8</v>
      </c>
      <c r="V7">
        <v>8.1</v>
      </c>
      <c r="W7">
        <v>9.6999999999999993</v>
      </c>
      <c r="X7">
        <v>12</v>
      </c>
      <c r="Y7">
        <v>8.9</v>
      </c>
      <c r="Z7">
        <v>17.5</v>
      </c>
      <c r="AA7">
        <v>24</v>
      </c>
      <c r="AB7">
        <v>888</v>
      </c>
      <c r="AC7">
        <v>934</v>
      </c>
      <c r="AD7">
        <v>929</v>
      </c>
      <c r="AE7">
        <v>911</v>
      </c>
      <c r="AF7">
        <v>910</v>
      </c>
      <c r="AG7" s="1">
        <v>903</v>
      </c>
      <c r="AH7">
        <v>6</v>
      </c>
      <c r="AI7">
        <v>276</v>
      </c>
      <c r="AJ7">
        <v>284</v>
      </c>
      <c r="AK7">
        <v>289</v>
      </c>
      <c r="AL7">
        <v>266</v>
      </c>
      <c r="AM7">
        <v>254</v>
      </c>
      <c r="AN7">
        <v>248</v>
      </c>
      <c r="AO7">
        <v>5</v>
      </c>
      <c r="AP7">
        <v>330</v>
      </c>
      <c r="AQ7">
        <v>350</v>
      </c>
      <c r="AR7">
        <v>350</v>
      </c>
      <c r="AS7">
        <v>331</v>
      </c>
      <c r="AT7">
        <v>357</v>
      </c>
      <c r="AU7">
        <v>357</v>
      </c>
      <c r="AV7">
        <v>6</v>
      </c>
      <c r="AW7">
        <v>220</v>
      </c>
      <c r="AX7">
        <v>225</v>
      </c>
      <c r="AY7">
        <v>215</v>
      </c>
      <c r="AZ7">
        <v>235</v>
      </c>
      <c r="BA7">
        <v>219</v>
      </c>
      <c r="BB7">
        <v>224</v>
      </c>
      <c r="BC7">
        <v>6</v>
      </c>
      <c r="BD7">
        <v>62</v>
      </c>
      <c r="BE7">
        <v>75</v>
      </c>
      <c r="BF7">
        <v>75</v>
      </c>
      <c r="BG7">
        <v>79</v>
      </c>
      <c r="BH7">
        <v>80</v>
      </c>
      <c r="BI7">
        <v>74</v>
      </c>
      <c r="BJ7">
        <v>8</v>
      </c>
      <c r="BK7">
        <v>990</v>
      </c>
      <c r="BL7">
        <v>811</v>
      </c>
      <c r="BM7">
        <v>833</v>
      </c>
      <c r="BN7">
        <v>902</v>
      </c>
      <c r="BO7">
        <v>896</v>
      </c>
      <c r="BP7">
        <v>930</v>
      </c>
      <c r="BQ7">
        <v>6</v>
      </c>
      <c r="BR7">
        <v>34</v>
      </c>
      <c r="BS7">
        <v>28</v>
      </c>
      <c r="BT7">
        <v>31</v>
      </c>
      <c r="BU7">
        <v>41</v>
      </c>
      <c r="BV7">
        <v>40</v>
      </c>
      <c r="BW7">
        <v>44</v>
      </c>
      <c r="BX7">
        <v>9</v>
      </c>
      <c r="BY7">
        <v>413</v>
      </c>
      <c r="BZ7">
        <v>368</v>
      </c>
      <c r="CA7">
        <v>361</v>
      </c>
      <c r="CB7">
        <v>417</v>
      </c>
      <c r="CC7">
        <v>374</v>
      </c>
      <c r="CD7">
        <v>377</v>
      </c>
      <c r="CE7">
        <v>5</v>
      </c>
      <c r="CF7">
        <v>577</v>
      </c>
      <c r="CG7">
        <v>415</v>
      </c>
      <c r="CH7">
        <v>441</v>
      </c>
      <c r="CI7">
        <v>444</v>
      </c>
      <c r="CJ7">
        <v>482</v>
      </c>
      <c r="CK7">
        <v>509</v>
      </c>
      <c r="CL7">
        <v>6</v>
      </c>
      <c r="CM7">
        <v>111</v>
      </c>
      <c r="CN7">
        <v>76</v>
      </c>
      <c r="CO7">
        <v>83</v>
      </c>
      <c r="CP7">
        <v>71</v>
      </c>
      <c r="CQ7">
        <v>75</v>
      </c>
      <c r="CR7">
        <v>78</v>
      </c>
      <c r="CS7">
        <v>6</v>
      </c>
      <c r="CT7">
        <v>209</v>
      </c>
      <c r="CU7">
        <v>158</v>
      </c>
      <c r="CV7">
        <v>174</v>
      </c>
      <c r="CW7">
        <v>184</v>
      </c>
      <c r="CX7">
        <v>209</v>
      </c>
      <c r="CY7">
        <v>224</v>
      </c>
      <c r="CZ7">
        <v>10</v>
      </c>
      <c r="DA7">
        <v>208</v>
      </c>
      <c r="DB7">
        <v>142</v>
      </c>
      <c r="DC7">
        <v>143</v>
      </c>
      <c r="DD7">
        <v>135</v>
      </c>
      <c r="DE7">
        <v>143</v>
      </c>
      <c r="DF7">
        <v>153</v>
      </c>
      <c r="DG7">
        <v>4</v>
      </c>
      <c r="DH7">
        <v>49</v>
      </c>
      <c r="DI7">
        <v>39</v>
      </c>
      <c r="DJ7">
        <v>41</v>
      </c>
      <c r="DK7">
        <v>54</v>
      </c>
      <c r="DL7">
        <v>55</v>
      </c>
      <c r="DM7">
        <v>54</v>
      </c>
      <c r="DN7">
        <v>5</v>
      </c>
      <c r="DO7">
        <v>894</v>
      </c>
      <c r="DP7">
        <v>995</v>
      </c>
      <c r="DQ7">
        <v>958</v>
      </c>
      <c r="DR7">
        <v>843</v>
      </c>
      <c r="DS7">
        <v>833</v>
      </c>
      <c r="DT7">
        <v>820</v>
      </c>
      <c r="DU7">
        <v>4</v>
      </c>
      <c r="DV7">
        <v>15.5</v>
      </c>
      <c r="DW7">
        <v>16</v>
      </c>
      <c r="DX7">
        <v>15.5</v>
      </c>
      <c r="DY7">
        <v>14.7</v>
      </c>
      <c r="DZ7">
        <v>14.2</v>
      </c>
      <c r="EA7">
        <v>14.1</v>
      </c>
      <c r="EB7">
        <v>11</v>
      </c>
      <c r="EC7">
        <v>2</v>
      </c>
      <c r="ED7">
        <v>2</v>
      </c>
      <c r="EE7">
        <v>2</v>
      </c>
      <c r="EF7">
        <v>2</v>
      </c>
      <c r="EG7">
        <v>3</v>
      </c>
      <c r="EH7">
        <v>2</v>
      </c>
      <c r="EI7">
        <v>3</v>
      </c>
      <c r="EJ7">
        <v>56</v>
      </c>
      <c r="EK7">
        <v>50</v>
      </c>
      <c r="EL7">
        <v>51</v>
      </c>
      <c r="EM7">
        <v>59</v>
      </c>
      <c r="EN7">
        <v>58</v>
      </c>
      <c r="EO7">
        <v>63</v>
      </c>
      <c r="EP7">
        <v>7</v>
      </c>
      <c r="EQ7">
        <v>15</v>
      </c>
    </row>
    <row r="8" spans="1:147" x14ac:dyDescent="0.25">
      <c r="A8" t="s">
        <v>237</v>
      </c>
      <c r="D8">
        <v>11</v>
      </c>
      <c r="E8">
        <v>3.7</v>
      </c>
      <c r="F8">
        <v>11</v>
      </c>
      <c r="G8">
        <v>3.7</v>
      </c>
      <c r="H8">
        <v>11</v>
      </c>
      <c r="I8">
        <v>3.7</v>
      </c>
      <c r="J8">
        <v>11</v>
      </c>
      <c r="K8">
        <v>3.7</v>
      </c>
      <c r="L8">
        <v>11</v>
      </c>
      <c r="M8">
        <v>3.7</v>
      </c>
      <c r="N8">
        <v>11</v>
      </c>
      <c r="O8">
        <v>3.7</v>
      </c>
      <c r="P8">
        <v>6</v>
      </c>
      <c r="Q8">
        <v>6</v>
      </c>
      <c r="R8">
        <v>6</v>
      </c>
      <c r="S8">
        <v>5</v>
      </c>
      <c r="T8">
        <v>5</v>
      </c>
      <c r="U8">
        <v>3</v>
      </c>
      <c r="V8">
        <v>12</v>
      </c>
      <c r="W8">
        <v>11.7</v>
      </c>
      <c r="X8">
        <v>10.3</v>
      </c>
      <c r="Y8">
        <v>12</v>
      </c>
      <c r="Z8">
        <v>1</v>
      </c>
      <c r="AA8">
        <v>0</v>
      </c>
      <c r="AB8">
        <v>820</v>
      </c>
      <c r="AC8">
        <v>845</v>
      </c>
      <c r="AD8">
        <v>852</v>
      </c>
      <c r="AE8">
        <v>910</v>
      </c>
      <c r="AF8">
        <v>902</v>
      </c>
      <c r="AG8" s="1">
        <v>880</v>
      </c>
      <c r="AH8">
        <v>7</v>
      </c>
      <c r="AI8">
        <v>261</v>
      </c>
      <c r="AJ8">
        <v>282</v>
      </c>
      <c r="AK8">
        <v>304</v>
      </c>
      <c r="AL8">
        <v>331</v>
      </c>
      <c r="AM8">
        <v>314</v>
      </c>
      <c r="AN8">
        <v>293</v>
      </c>
      <c r="AO8">
        <v>6</v>
      </c>
      <c r="AP8">
        <v>344</v>
      </c>
      <c r="AQ8">
        <v>347</v>
      </c>
      <c r="AR8">
        <v>336</v>
      </c>
      <c r="AS8">
        <v>360</v>
      </c>
      <c r="AT8">
        <v>319</v>
      </c>
      <c r="AU8">
        <v>340</v>
      </c>
      <c r="AV8">
        <v>5</v>
      </c>
      <c r="AW8">
        <v>175</v>
      </c>
      <c r="AX8">
        <v>170</v>
      </c>
      <c r="AY8">
        <v>165</v>
      </c>
      <c r="AZ8">
        <v>175</v>
      </c>
      <c r="BA8">
        <v>200</v>
      </c>
      <c r="BB8">
        <v>190</v>
      </c>
      <c r="BC8">
        <v>8</v>
      </c>
      <c r="BD8">
        <v>40</v>
      </c>
      <c r="BE8">
        <v>46</v>
      </c>
      <c r="BF8">
        <v>47</v>
      </c>
      <c r="BG8">
        <v>44</v>
      </c>
      <c r="BH8">
        <v>69</v>
      </c>
      <c r="BI8">
        <v>57</v>
      </c>
      <c r="BJ8">
        <v>10</v>
      </c>
      <c r="BK8">
        <v>815</v>
      </c>
      <c r="BL8">
        <v>910</v>
      </c>
      <c r="BM8">
        <v>927</v>
      </c>
      <c r="BN8">
        <v>937</v>
      </c>
      <c r="BO8">
        <v>895</v>
      </c>
      <c r="BP8" s="1">
        <v>895</v>
      </c>
      <c r="BQ8">
        <v>8</v>
      </c>
      <c r="BR8">
        <v>52</v>
      </c>
      <c r="BS8">
        <v>49</v>
      </c>
      <c r="BT8">
        <v>53</v>
      </c>
      <c r="BU8">
        <v>52</v>
      </c>
      <c r="BV8">
        <v>70</v>
      </c>
      <c r="BW8">
        <v>48</v>
      </c>
      <c r="BX8">
        <v>2</v>
      </c>
      <c r="BY8">
        <v>391</v>
      </c>
      <c r="BZ8">
        <v>458</v>
      </c>
      <c r="CA8">
        <v>462</v>
      </c>
      <c r="CB8">
        <v>437</v>
      </c>
      <c r="CC8">
        <v>460</v>
      </c>
      <c r="CD8">
        <v>447</v>
      </c>
      <c r="CE8">
        <v>6</v>
      </c>
      <c r="CF8">
        <v>424</v>
      </c>
      <c r="CG8">
        <v>403</v>
      </c>
      <c r="CH8">
        <v>412</v>
      </c>
      <c r="CI8">
        <v>448</v>
      </c>
      <c r="CJ8">
        <v>365</v>
      </c>
      <c r="CK8">
        <v>400</v>
      </c>
      <c r="CL8">
        <v>10</v>
      </c>
      <c r="CM8">
        <v>63</v>
      </c>
      <c r="CN8">
        <v>63</v>
      </c>
      <c r="CO8">
        <v>77</v>
      </c>
      <c r="CP8">
        <v>99</v>
      </c>
      <c r="CQ8">
        <v>60</v>
      </c>
      <c r="CR8">
        <v>55</v>
      </c>
      <c r="CS8">
        <v>9</v>
      </c>
      <c r="CT8">
        <v>211</v>
      </c>
      <c r="CU8">
        <v>172</v>
      </c>
      <c r="CV8">
        <v>172</v>
      </c>
      <c r="CW8">
        <v>190</v>
      </c>
      <c r="CX8">
        <v>155</v>
      </c>
      <c r="CY8">
        <v>160</v>
      </c>
      <c r="CZ8">
        <v>9</v>
      </c>
      <c r="DA8">
        <v>125</v>
      </c>
      <c r="DB8">
        <v>137</v>
      </c>
      <c r="DC8">
        <v>131</v>
      </c>
      <c r="DD8">
        <v>126</v>
      </c>
      <c r="DE8">
        <v>118</v>
      </c>
      <c r="DF8">
        <v>136</v>
      </c>
      <c r="DG8">
        <v>10</v>
      </c>
      <c r="DH8">
        <v>25</v>
      </c>
      <c r="DI8">
        <v>31</v>
      </c>
      <c r="DJ8">
        <v>32</v>
      </c>
      <c r="DK8">
        <v>33</v>
      </c>
      <c r="DL8">
        <v>32</v>
      </c>
      <c r="DM8">
        <v>49</v>
      </c>
      <c r="DN8">
        <v>10</v>
      </c>
      <c r="DO8">
        <v>526</v>
      </c>
      <c r="DP8">
        <v>522</v>
      </c>
      <c r="DQ8">
        <v>514</v>
      </c>
      <c r="DR8">
        <v>593</v>
      </c>
      <c r="DS8">
        <v>620</v>
      </c>
      <c r="DT8">
        <v>613</v>
      </c>
      <c r="DU8">
        <v>7</v>
      </c>
      <c r="DV8">
        <v>9.4</v>
      </c>
      <c r="DW8">
        <v>10.6</v>
      </c>
      <c r="DX8">
        <v>10.5</v>
      </c>
      <c r="DY8">
        <v>10.6</v>
      </c>
      <c r="DZ8">
        <v>12</v>
      </c>
      <c r="EA8">
        <v>10.9</v>
      </c>
      <c r="EB8">
        <v>6</v>
      </c>
      <c r="EC8">
        <v>5</v>
      </c>
      <c r="ED8">
        <v>5</v>
      </c>
      <c r="EE8">
        <v>4</v>
      </c>
      <c r="EF8">
        <v>4</v>
      </c>
      <c r="EG8">
        <v>4</v>
      </c>
      <c r="EH8">
        <v>3</v>
      </c>
      <c r="EI8">
        <v>1</v>
      </c>
      <c r="EJ8">
        <v>31</v>
      </c>
      <c r="EK8">
        <v>33</v>
      </c>
      <c r="EL8">
        <v>34</v>
      </c>
      <c r="EM8">
        <v>35</v>
      </c>
      <c r="EN8">
        <v>32</v>
      </c>
      <c r="EO8">
        <v>32</v>
      </c>
      <c r="EP8">
        <v>9</v>
      </c>
      <c r="EQ8">
        <v>17</v>
      </c>
    </row>
    <row r="9" spans="1:147" x14ac:dyDescent="0.25">
      <c r="A9" t="s">
        <v>238</v>
      </c>
      <c r="D9">
        <v>11</v>
      </c>
      <c r="E9">
        <v>3.7</v>
      </c>
      <c r="F9">
        <v>11</v>
      </c>
      <c r="G9">
        <v>3.7</v>
      </c>
      <c r="H9">
        <v>11</v>
      </c>
      <c r="I9">
        <v>3.7</v>
      </c>
      <c r="J9">
        <v>11</v>
      </c>
      <c r="K9">
        <v>3.7</v>
      </c>
      <c r="L9">
        <v>11</v>
      </c>
      <c r="M9">
        <v>3.7</v>
      </c>
      <c r="N9">
        <v>11</v>
      </c>
      <c r="O9">
        <v>3.7</v>
      </c>
      <c r="P9">
        <v>6</v>
      </c>
      <c r="Q9">
        <v>6</v>
      </c>
      <c r="R9">
        <v>6</v>
      </c>
      <c r="S9">
        <v>6</v>
      </c>
      <c r="T9">
        <v>8</v>
      </c>
      <c r="U9">
        <v>8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796</v>
      </c>
      <c r="AC9">
        <v>791</v>
      </c>
      <c r="AD9">
        <v>785</v>
      </c>
      <c r="AE9">
        <v>849</v>
      </c>
      <c r="AF9">
        <v>824</v>
      </c>
      <c r="AG9">
        <v>824</v>
      </c>
      <c r="AH9">
        <v>9</v>
      </c>
      <c r="AI9">
        <v>254</v>
      </c>
      <c r="AJ9">
        <v>259</v>
      </c>
      <c r="AK9">
        <v>250</v>
      </c>
      <c r="AL9">
        <v>227</v>
      </c>
      <c r="AM9">
        <v>223</v>
      </c>
      <c r="AN9">
        <v>233</v>
      </c>
      <c r="AO9">
        <v>7</v>
      </c>
      <c r="AP9">
        <v>282</v>
      </c>
      <c r="AQ9">
        <v>274</v>
      </c>
      <c r="AR9">
        <v>275</v>
      </c>
      <c r="AS9">
        <v>278</v>
      </c>
      <c r="AT9">
        <v>275</v>
      </c>
      <c r="AU9">
        <v>302</v>
      </c>
      <c r="AV9">
        <v>9</v>
      </c>
      <c r="AW9">
        <v>225</v>
      </c>
      <c r="AX9">
        <v>226</v>
      </c>
      <c r="AY9">
        <v>230</v>
      </c>
      <c r="AZ9">
        <v>315</v>
      </c>
      <c r="BA9">
        <v>283</v>
      </c>
      <c r="BB9">
        <v>246</v>
      </c>
      <c r="BC9">
        <v>5</v>
      </c>
      <c r="BD9">
        <v>35</v>
      </c>
      <c r="BE9">
        <v>32</v>
      </c>
      <c r="BF9">
        <v>30</v>
      </c>
      <c r="BG9">
        <v>29</v>
      </c>
      <c r="BH9">
        <v>43</v>
      </c>
      <c r="BI9">
        <v>43</v>
      </c>
      <c r="BJ9">
        <v>11</v>
      </c>
      <c r="BK9">
        <v>800</v>
      </c>
      <c r="BL9">
        <v>895</v>
      </c>
      <c r="BM9">
        <v>926</v>
      </c>
      <c r="BN9">
        <v>856</v>
      </c>
      <c r="BO9">
        <v>846</v>
      </c>
      <c r="BP9" s="1">
        <v>815</v>
      </c>
      <c r="BQ9">
        <v>9</v>
      </c>
      <c r="BR9">
        <v>30</v>
      </c>
      <c r="BS9">
        <v>34</v>
      </c>
      <c r="BT9">
        <v>42</v>
      </c>
      <c r="BU9">
        <v>43</v>
      </c>
      <c r="BV9">
        <v>44</v>
      </c>
      <c r="BW9">
        <v>41</v>
      </c>
      <c r="BX9">
        <v>10</v>
      </c>
      <c r="BY9">
        <v>255</v>
      </c>
      <c r="BZ9">
        <v>268</v>
      </c>
      <c r="CA9">
        <v>259</v>
      </c>
      <c r="CB9">
        <v>253</v>
      </c>
      <c r="CC9">
        <v>278</v>
      </c>
      <c r="CD9">
        <v>268</v>
      </c>
      <c r="CE9">
        <v>10</v>
      </c>
      <c r="CF9">
        <v>545</v>
      </c>
      <c r="CG9">
        <v>593</v>
      </c>
      <c r="CH9">
        <v>625</v>
      </c>
      <c r="CI9">
        <v>560</v>
      </c>
      <c r="CJ9">
        <v>524</v>
      </c>
      <c r="CK9">
        <v>506</v>
      </c>
      <c r="CL9">
        <v>8</v>
      </c>
      <c r="CM9">
        <v>106</v>
      </c>
      <c r="CN9">
        <v>116</v>
      </c>
      <c r="CO9">
        <v>131</v>
      </c>
      <c r="CP9">
        <v>79</v>
      </c>
      <c r="CQ9">
        <v>82</v>
      </c>
      <c r="CR9">
        <v>85</v>
      </c>
      <c r="CS9">
        <v>7</v>
      </c>
      <c r="CT9">
        <v>224</v>
      </c>
      <c r="CU9">
        <v>227</v>
      </c>
      <c r="CV9">
        <v>236</v>
      </c>
      <c r="CW9">
        <v>207</v>
      </c>
      <c r="CX9">
        <v>195</v>
      </c>
      <c r="CY9">
        <v>213</v>
      </c>
      <c r="CZ9">
        <v>5</v>
      </c>
      <c r="DA9">
        <v>194</v>
      </c>
      <c r="DB9">
        <v>222</v>
      </c>
      <c r="DC9">
        <v>227</v>
      </c>
      <c r="DD9">
        <v>250</v>
      </c>
      <c r="DE9">
        <v>217</v>
      </c>
      <c r="DF9">
        <v>182</v>
      </c>
      <c r="DG9">
        <v>5</v>
      </c>
      <c r="DH9">
        <v>21</v>
      </c>
      <c r="DI9">
        <v>28</v>
      </c>
      <c r="DJ9">
        <v>31</v>
      </c>
      <c r="DK9">
        <v>24</v>
      </c>
      <c r="DL9">
        <v>30</v>
      </c>
      <c r="DM9">
        <v>26</v>
      </c>
      <c r="DN9">
        <v>11</v>
      </c>
      <c r="DO9">
        <v>382</v>
      </c>
      <c r="DP9">
        <v>386</v>
      </c>
      <c r="DQ9">
        <v>386</v>
      </c>
      <c r="DR9">
        <v>528</v>
      </c>
      <c r="DS9">
        <v>535</v>
      </c>
      <c r="DT9">
        <v>560</v>
      </c>
      <c r="DU9">
        <v>10</v>
      </c>
      <c r="DV9">
        <v>6.7</v>
      </c>
      <c r="DW9">
        <v>9</v>
      </c>
      <c r="DX9">
        <v>10</v>
      </c>
      <c r="DY9">
        <v>10.9</v>
      </c>
      <c r="DZ9">
        <v>11.4</v>
      </c>
      <c r="EA9">
        <v>11.2</v>
      </c>
      <c r="EB9">
        <v>1</v>
      </c>
      <c r="EC9">
        <v>2</v>
      </c>
      <c r="ED9">
        <v>3</v>
      </c>
      <c r="EE9">
        <v>2</v>
      </c>
      <c r="EF9">
        <v>3</v>
      </c>
      <c r="EG9">
        <v>1</v>
      </c>
      <c r="EH9">
        <v>2</v>
      </c>
      <c r="EI9">
        <v>3</v>
      </c>
      <c r="EJ9">
        <v>84</v>
      </c>
      <c r="EK9">
        <v>90</v>
      </c>
      <c r="EL9">
        <v>90</v>
      </c>
      <c r="EM9">
        <v>69</v>
      </c>
      <c r="EN9">
        <v>75</v>
      </c>
      <c r="EO9">
        <v>70</v>
      </c>
      <c r="EP9">
        <v>2</v>
      </c>
      <c r="EQ9">
        <v>19</v>
      </c>
    </row>
    <row r="10" spans="1:147" x14ac:dyDescent="0.25">
      <c r="A10" t="s">
        <v>239</v>
      </c>
      <c r="D10">
        <v>29</v>
      </c>
      <c r="E10">
        <v>9.6999999999999993</v>
      </c>
      <c r="F10">
        <v>29</v>
      </c>
      <c r="G10">
        <v>9.6999999999999993</v>
      </c>
      <c r="H10">
        <v>29</v>
      </c>
      <c r="I10">
        <v>9.6999999999999993</v>
      </c>
      <c r="J10">
        <v>29</v>
      </c>
      <c r="K10">
        <v>9.6999999999999993</v>
      </c>
      <c r="L10">
        <v>28</v>
      </c>
      <c r="M10">
        <v>9.3000000000000007</v>
      </c>
      <c r="N10">
        <v>28</v>
      </c>
      <c r="O10">
        <v>9.3000000000000007</v>
      </c>
      <c r="P10">
        <v>18</v>
      </c>
      <c r="Q10">
        <v>20</v>
      </c>
      <c r="R10">
        <v>20</v>
      </c>
      <c r="S10">
        <v>18</v>
      </c>
      <c r="T10">
        <v>21</v>
      </c>
      <c r="U10">
        <v>22</v>
      </c>
      <c r="V10">
        <v>38.700000000000003</v>
      </c>
      <c r="W10">
        <v>40.9</v>
      </c>
      <c r="X10">
        <v>35.200000000000003</v>
      </c>
      <c r="Y10">
        <v>20.3</v>
      </c>
      <c r="Z10">
        <v>12</v>
      </c>
      <c r="AA10">
        <v>16.5</v>
      </c>
      <c r="AB10" s="1">
        <v>1273</v>
      </c>
      <c r="AC10" s="1">
        <v>1241</v>
      </c>
      <c r="AD10" s="1">
        <v>1240</v>
      </c>
      <c r="AE10" s="1">
        <v>1263</v>
      </c>
      <c r="AF10" s="1">
        <v>1455</v>
      </c>
      <c r="AG10" s="1">
        <v>1345</v>
      </c>
      <c r="AH10">
        <v>4</v>
      </c>
      <c r="AI10">
        <v>369</v>
      </c>
      <c r="AJ10">
        <v>349</v>
      </c>
      <c r="AK10">
        <v>342</v>
      </c>
      <c r="AL10">
        <v>334</v>
      </c>
      <c r="AM10">
        <v>352</v>
      </c>
      <c r="AN10">
        <v>285</v>
      </c>
      <c r="AO10">
        <v>3</v>
      </c>
      <c r="AP10">
        <v>395</v>
      </c>
      <c r="AQ10">
        <v>381</v>
      </c>
      <c r="AR10">
        <v>383</v>
      </c>
      <c r="AS10">
        <v>389</v>
      </c>
      <c r="AT10">
        <v>404</v>
      </c>
      <c r="AU10">
        <v>393</v>
      </c>
      <c r="AV10">
        <v>3</v>
      </c>
      <c r="AW10">
        <v>169</v>
      </c>
      <c r="AX10">
        <v>171</v>
      </c>
      <c r="AY10">
        <v>171</v>
      </c>
      <c r="AZ10">
        <v>174</v>
      </c>
      <c r="BA10">
        <v>178</v>
      </c>
      <c r="BB10">
        <v>186</v>
      </c>
      <c r="BC10">
        <v>9</v>
      </c>
      <c r="BD10">
        <v>340</v>
      </c>
      <c r="BE10">
        <v>340</v>
      </c>
      <c r="BF10">
        <v>344</v>
      </c>
      <c r="BG10">
        <v>366</v>
      </c>
      <c r="BH10">
        <v>521</v>
      </c>
      <c r="BI10">
        <v>481</v>
      </c>
      <c r="BJ10">
        <v>2</v>
      </c>
      <c r="BK10" s="1">
        <v>1315</v>
      </c>
      <c r="BL10" s="1">
        <v>1394</v>
      </c>
      <c r="BM10" s="1">
        <v>1380</v>
      </c>
      <c r="BN10" s="1">
        <v>1326</v>
      </c>
      <c r="BO10" s="1">
        <v>1326</v>
      </c>
      <c r="BP10" s="1">
        <v>1457</v>
      </c>
      <c r="BQ10">
        <v>3</v>
      </c>
      <c r="BR10">
        <v>44</v>
      </c>
      <c r="BS10">
        <v>57</v>
      </c>
      <c r="BT10">
        <v>52</v>
      </c>
      <c r="BU10">
        <v>50</v>
      </c>
      <c r="BV10">
        <v>55</v>
      </c>
      <c r="BW10">
        <v>48</v>
      </c>
      <c r="BX10">
        <v>4</v>
      </c>
      <c r="BY10">
        <v>569</v>
      </c>
      <c r="BZ10">
        <v>657</v>
      </c>
      <c r="CA10">
        <v>674</v>
      </c>
      <c r="CB10">
        <v>706</v>
      </c>
      <c r="CC10">
        <v>650</v>
      </c>
      <c r="CD10">
        <v>712</v>
      </c>
      <c r="CE10">
        <v>3</v>
      </c>
      <c r="CF10">
        <v>745</v>
      </c>
      <c r="CG10">
        <v>680</v>
      </c>
      <c r="CH10">
        <v>654</v>
      </c>
      <c r="CI10">
        <v>570</v>
      </c>
      <c r="CJ10">
        <v>621</v>
      </c>
      <c r="CK10">
        <v>697</v>
      </c>
      <c r="CL10">
        <v>2</v>
      </c>
      <c r="CM10">
        <v>169</v>
      </c>
      <c r="CN10">
        <v>115</v>
      </c>
      <c r="CO10">
        <v>101</v>
      </c>
      <c r="CP10">
        <v>73</v>
      </c>
      <c r="CQ10">
        <v>68</v>
      </c>
      <c r="CR10">
        <v>73</v>
      </c>
      <c r="CS10">
        <v>1</v>
      </c>
      <c r="CT10">
        <v>245</v>
      </c>
      <c r="CU10">
        <v>216</v>
      </c>
      <c r="CV10">
        <v>202</v>
      </c>
      <c r="CW10">
        <v>167</v>
      </c>
      <c r="CX10">
        <v>196</v>
      </c>
      <c r="CY10">
        <v>228</v>
      </c>
      <c r="CZ10">
        <v>3</v>
      </c>
      <c r="DA10">
        <v>130</v>
      </c>
      <c r="DB10">
        <v>116</v>
      </c>
      <c r="DC10">
        <v>121</v>
      </c>
      <c r="DD10">
        <v>115</v>
      </c>
      <c r="DE10">
        <v>135</v>
      </c>
      <c r="DF10">
        <v>146</v>
      </c>
      <c r="DG10">
        <v>9</v>
      </c>
      <c r="DH10">
        <v>201</v>
      </c>
      <c r="DI10">
        <v>233</v>
      </c>
      <c r="DJ10">
        <v>230</v>
      </c>
      <c r="DK10">
        <v>215</v>
      </c>
      <c r="DL10">
        <v>222</v>
      </c>
      <c r="DM10">
        <v>250</v>
      </c>
      <c r="DN10">
        <v>1</v>
      </c>
      <c r="DO10" s="1">
        <v>1481</v>
      </c>
      <c r="DP10" s="1">
        <v>1500</v>
      </c>
      <c r="DQ10" s="1">
        <v>1566</v>
      </c>
      <c r="DR10" s="1">
        <v>1790</v>
      </c>
      <c r="DS10" s="1">
        <v>1897</v>
      </c>
      <c r="DT10" s="1">
        <v>1743</v>
      </c>
      <c r="DU10">
        <v>1</v>
      </c>
      <c r="DV10">
        <v>16.8</v>
      </c>
      <c r="DW10">
        <v>16.3</v>
      </c>
      <c r="DX10">
        <v>16.3</v>
      </c>
      <c r="DY10">
        <v>17.899999999999999</v>
      </c>
      <c r="DZ10">
        <v>19.399999999999999</v>
      </c>
      <c r="EA10">
        <v>17.399999999999999</v>
      </c>
      <c r="EB10">
        <v>12</v>
      </c>
      <c r="EC10">
        <v>3</v>
      </c>
      <c r="ED10">
        <v>4</v>
      </c>
      <c r="EE10">
        <v>4</v>
      </c>
      <c r="EF10">
        <v>2</v>
      </c>
      <c r="EG10">
        <v>2</v>
      </c>
      <c r="EH10">
        <v>3</v>
      </c>
      <c r="EI10">
        <v>2</v>
      </c>
      <c r="EJ10">
        <v>69</v>
      </c>
      <c r="EK10">
        <v>79</v>
      </c>
      <c r="EL10">
        <v>75</v>
      </c>
      <c r="EM10">
        <v>49</v>
      </c>
      <c r="EN10">
        <v>58</v>
      </c>
      <c r="EO10">
        <v>56</v>
      </c>
      <c r="EP10">
        <v>3</v>
      </c>
      <c r="EQ10">
        <v>21</v>
      </c>
    </row>
    <row r="11" spans="1:147" x14ac:dyDescent="0.25">
      <c r="A11" t="s">
        <v>240</v>
      </c>
      <c r="D11">
        <v>12</v>
      </c>
      <c r="E11">
        <v>4</v>
      </c>
      <c r="F11">
        <v>12</v>
      </c>
      <c r="G11">
        <v>4</v>
      </c>
      <c r="H11">
        <v>12</v>
      </c>
      <c r="I11">
        <v>4</v>
      </c>
      <c r="J11">
        <v>12</v>
      </c>
      <c r="K11">
        <v>4</v>
      </c>
      <c r="L11">
        <v>12</v>
      </c>
      <c r="M11">
        <v>4</v>
      </c>
      <c r="N11">
        <v>12</v>
      </c>
      <c r="O11">
        <v>4</v>
      </c>
      <c r="P11">
        <v>9</v>
      </c>
      <c r="Q11">
        <v>9</v>
      </c>
      <c r="R11">
        <v>9</v>
      </c>
      <c r="S11">
        <v>10</v>
      </c>
      <c r="T11">
        <v>10</v>
      </c>
      <c r="U11">
        <v>10</v>
      </c>
      <c r="V11">
        <v>17.600000000000001</v>
      </c>
      <c r="W11">
        <v>17.7</v>
      </c>
      <c r="X11">
        <v>15</v>
      </c>
      <c r="Y11">
        <v>1</v>
      </c>
      <c r="Z11">
        <v>0</v>
      </c>
      <c r="AA11">
        <v>0</v>
      </c>
      <c r="AB11">
        <v>574</v>
      </c>
      <c r="AC11">
        <v>556</v>
      </c>
      <c r="AD11">
        <v>568</v>
      </c>
      <c r="AE11">
        <v>582</v>
      </c>
      <c r="AF11">
        <v>557</v>
      </c>
      <c r="AG11">
        <v>602</v>
      </c>
      <c r="AH11">
        <v>11</v>
      </c>
      <c r="AI11">
        <v>169</v>
      </c>
      <c r="AJ11">
        <v>178</v>
      </c>
      <c r="AK11">
        <v>186</v>
      </c>
      <c r="AL11">
        <v>179</v>
      </c>
      <c r="AM11">
        <v>156</v>
      </c>
      <c r="AN11">
        <v>159</v>
      </c>
      <c r="AO11">
        <v>10</v>
      </c>
      <c r="AP11">
        <v>244</v>
      </c>
      <c r="AQ11">
        <v>223</v>
      </c>
      <c r="AR11">
        <v>224</v>
      </c>
      <c r="AS11">
        <v>229</v>
      </c>
      <c r="AT11">
        <v>231</v>
      </c>
      <c r="AU11">
        <v>252</v>
      </c>
      <c r="AV11">
        <v>11</v>
      </c>
      <c r="AW11">
        <v>131</v>
      </c>
      <c r="AX11">
        <v>130</v>
      </c>
      <c r="AY11">
        <v>135</v>
      </c>
      <c r="AZ11">
        <v>150</v>
      </c>
      <c r="BA11">
        <v>146</v>
      </c>
      <c r="BB11">
        <v>166</v>
      </c>
      <c r="BC11">
        <v>11</v>
      </c>
      <c r="BD11">
        <v>30</v>
      </c>
      <c r="BE11">
        <v>25</v>
      </c>
      <c r="BF11">
        <v>23</v>
      </c>
      <c r="BG11">
        <v>24</v>
      </c>
      <c r="BH11">
        <v>24</v>
      </c>
      <c r="BI11">
        <v>25</v>
      </c>
      <c r="BJ11">
        <v>12</v>
      </c>
      <c r="BK11">
        <v>563</v>
      </c>
      <c r="BL11">
        <v>594</v>
      </c>
      <c r="BM11">
        <v>612</v>
      </c>
      <c r="BN11">
        <v>594</v>
      </c>
      <c r="BO11">
        <v>596</v>
      </c>
      <c r="BP11">
        <v>670</v>
      </c>
      <c r="BQ11">
        <v>11</v>
      </c>
      <c r="BR11">
        <v>15</v>
      </c>
      <c r="BS11">
        <v>19</v>
      </c>
      <c r="BT11">
        <v>17</v>
      </c>
      <c r="BU11">
        <v>11</v>
      </c>
      <c r="BV11">
        <v>10</v>
      </c>
      <c r="BW11">
        <v>11</v>
      </c>
      <c r="BX11">
        <v>11</v>
      </c>
      <c r="BY11">
        <v>244</v>
      </c>
      <c r="BZ11">
        <v>254</v>
      </c>
      <c r="CA11">
        <v>257</v>
      </c>
      <c r="CB11">
        <v>225</v>
      </c>
      <c r="CC11">
        <v>218</v>
      </c>
      <c r="CD11">
        <v>260</v>
      </c>
      <c r="CE11">
        <v>11</v>
      </c>
      <c r="CF11">
        <v>318</v>
      </c>
      <c r="CG11">
        <v>321</v>
      </c>
      <c r="CH11">
        <v>338</v>
      </c>
      <c r="CI11">
        <v>358</v>
      </c>
      <c r="CJ11">
        <v>368</v>
      </c>
      <c r="CK11">
        <v>399</v>
      </c>
      <c r="CL11">
        <v>11</v>
      </c>
      <c r="CM11">
        <v>49</v>
      </c>
      <c r="CN11">
        <v>59</v>
      </c>
      <c r="CO11">
        <v>58</v>
      </c>
      <c r="CP11">
        <v>56</v>
      </c>
      <c r="CQ11">
        <v>59</v>
      </c>
      <c r="CR11">
        <v>67</v>
      </c>
      <c r="CS11">
        <v>11</v>
      </c>
      <c r="CT11">
        <v>148</v>
      </c>
      <c r="CU11">
        <v>140</v>
      </c>
      <c r="CV11">
        <v>146</v>
      </c>
      <c r="CW11">
        <v>149</v>
      </c>
      <c r="CX11">
        <v>157</v>
      </c>
      <c r="CY11">
        <v>166</v>
      </c>
      <c r="CZ11">
        <v>11</v>
      </c>
      <c r="DA11">
        <v>104</v>
      </c>
      <c r="DB11">
        <v>106</v>
      </c>
      <c r="DC11">
        <v>116</v>
      </c>
      <c r="DD11">
        <v>136</v>
      </c>
      <c r="DE11">
        <v>136</v>
      </c>
      <c r="DF11">
        <v>145</v>
      </c>
      <c r="DG11">
        <v>11</v>
      </c>
      <c r="DH11">
        <v>17</v>
      </c>
      <c r="DI11">
        <v>16</v>
      </c>
      <c r="DJ11">
        <v>18</v>
      </c>
      <c r="DK11">
        <v>17</v>
      </c>
      <c r="DL11">
        <v>16</v>
      </c>
      <c r="DM11">
        <v>21</v>
      </c>
      <c r="DN11">
        <v>12</v>
      </c>
      <c r="DO11">
        <v>343</v>
      </c>
      <c r="DP11">
        <v>335</v>
      </c>
      <c r="DQ11">
        <v>369</v>
      </c>
      <c r="DR11">
        <v>413</v>
      </c>
      <c r="DS11">
        <v>425</v>
      </c>
      <c r="DT11">
        <v>460</v>
      </c>
      <c r="DU11">
        <v>12</v>
      </c>
      <c r="DV11">
        <v>9</v>
      </c>
      <c r="DW11">
        <v>9.3000000000000007</v>
      </c>
      <c r="DX11">
        <v>9.3000000000000007</v>
      </c>
      <c r="DY11">
        <v>10.3</v>
      </c>
      <c r="DZ11">
        <v>10.9</v>
      </c>
      <c r="EA11">
        <v>11.6</v>
      </c>
      <c r="EB11">
        <v>4</v>
      </c>
      <c r="EC11">
        <v>1</v>
      </c>
      <c r="ED11">
        <v>1</v>
      </c>
      <c r="EE11">
        <v>1</v>
      </c>
      <c r="EF11">
        <v>1</v>
      </c>
      <c r="EG11">
        <v>1</v>
      </c>
      <c r="EH11">
        <v>2</v>
      </c>
      <c r="EI11">
        <v>8</v>
      </c>
      <c r="EJ11">
        <v>33</v>
      </c>
      <c r="EK11">
        <v>28</v>
      </c>
      <c r="EL11">
        <v>29</v>
      </c>
      <c r="EM11">
        <v>32</v>
      </c>
      <c r="EN11">
        <v>31</v>
      </c>
      <c r="EO11">
        <v>32</v>
      </c>
      <c r="EP11">
        <v>8</v>
      </c>
      <c r="EQ11">
        <v>23</v>
      </c>
    </row>
    <row r="12" spans="1:147" x14ac:dyDescent="0.25">
      <c r="A12" t="s">
        <v>241</v>
      </c>
      <c r="D12">
        <v>12</v>
      </c>
      <c r="E12">
        <v>4</v>
      </c>
      <c r="F12">
        <v>12</v>
      </c>
      <c r="G12">
        <v>4</v>
      </c>
      <c r="H12">
        <v>12</v>
      </c>
      <c r="I12">
        <v>4</v>
      </c>
      <c r="J12">
        <v>12</v>
      </c>
      <c r="K12">
        <v>4</v>
      </c>
      <c r="L12">
        <v>12</v>
      </c>
      <c r="M12">
        <v>4</v>
      </c>
      <c r="N12">
        <v>12</v>
      </c>
      <c r="O12">
        <v>4</v>
      </c>
      <c r="P12">
        <v>6</v>
      </c>
      <c r="Q12">
        <v>5</v>
      </c>
      <c r="R12">
        <v>5</v>
      </c>
      <c r="S12">
        <v>5</v>
      </c>
      <c r="T12">
        <v>4</v>
      </c>
      <c r="U12">
        <v>4</v>
      </c>
      <c r="V12">
        <v>4.5999999999999996</v>
      </c>
      <c r="W12">
        <v>4.7</v>
      </c>
      <c r="X12">
        <v>4.7</v>
      </c>
      <c r="Y12">
        <v>7.9</v>
      </c>
      <c r="Z12">
        <v>0</v>
      </c>
      <c r="AA12">
        <v>0</v>
      </c>
      <c r="AB12" s="1">
        <v>1612</v>
      </c>
      <c r="AC12" s="1">
        <v>1574</v>
      </c>
      <c r="AD12" s="1">
        <v>1610</v>
      </c>
      <c r="AE12" s="1">
        <v>1749</v>
      </c>
      <c r="AF12" s="1">
        <v>1843</v>
      </c>
      <c r="AG12" s="1">
        <v>1590</v>
      </c>
      <c r="AH12">
        <v>1</v>
      </c>
      <c r="AI12">
        <v>471</v>
      </c>
      <c r="AJ12">
        <v>462</v>
      </c>
      <c r="AK12">
        <v>465</v>
      </c>
      <c r="AL12">
        <v>489</v>
      </c>
      <c r="AM12">
        <v>557</v>
      </c>
      <c r="AN12">
        <v>501</v>
      </c>
      <c r="AO12">
        <v>1</v>
      </c>
      <c r="AP12">
        <v>659</v>
      </c>
      <c r="AQ12">
        <v>599</v>
      </c>
      <c r="AR12">
        <v>610</v>
      </c>
      <c r="AS12">
        <v>564</v>
      </c>
      <c r="AT12">
        <v>565</v>
      </c>
      <c r="AU12">
        <v>550</v>
      </c>
      <c r="AV12">
        <v>1</v>
      </c>
      <c r="AW12">
        <v>375</v>
      </c>
      <c r="AX12">
        <v>395</v>
      </c>
      <c r="AY12">
        <v>417</v>
      </c>
      <c r="AZ12">
        <v>551</v>
      </c>
      <c r="BA12">
        <v>572</v>
      </c>
      <c r="BB12">
        <v>405</v>
      </c>
      <c r="BC12">
        <v>2</v>
      </c>
      <c r="BD12">
        <v>107</v>
      </c>
      <c r="BE12">
        <v>118</v>
      </c>
      <c r="BF12">
        <v>118</v>
      </c>
      <c r="BG12">
        <v>145</v>
      </c>
      <c r="BH12">
        <v>149</v>
      </c>
      <c r="BI12">
        <v>134</v>
      </c>
      <c r="BJ12">
        <v>4</v>
      </c>
      <c r="BK12" s="1">
        <v>1576</v>
      </c>
      <c r="BL12" s="1">
        <v>1591</v>
      </c>
      <c r="BM12" s="1">
        <v>1625</v>
      </c>
      <c r="BN12" s="1">
        <v>1842</v>
      </c>
      <c r="BO12" s="1">
        <v>1733</v>
      </c>
      <c r="BP12" s="1">
        <v>1626</v>
      </c>
      <c r="BQ12">
        <v>1</v>
      </c>
      <c r="BR12">
        <v>39</v>
      </c>
      <c r="BS12">
        <v>32</v>
      </c>
      <c r="BT12">
        <v>35</v>
      </c>
      <c r="BU12">
        <v>66</v>
      </c>
      <c r="BV12">
        <v>43</v>
      </c>
      <c r="BW12">
        <v>39</v>
      </c>
      <c r="BX12">
        <v>6</v>
      </c>
      <c r="BY12">
        <v>746</v>
      </c>
      <c r="BZ12">
        <v>786</v>
      </c>
      <c r="CA12">
        <v>804</v>
      </c>
      <c r="CB12">
        <v>909</v>
      </c>
      <c r="CC12">
        <v>923</v>
      </c>
      <c r="CD12">
        <v>788</v>
      </c>
      <c r="CE12">
        <v>1</v>
      </c>
      <c r="CF12">
        <v>830</v>
      </c>
      <c r="CG12">
        <v>773</v>
      </c>
      <c r="CH12">
        <v>786</v>
      </c>
      <c r="CI12">
        <v>867</v>
      </c>
      <c r="CJ12">
        <v>767</v>
      </c>
      <c r="CK12" s="1">
        <v>799</v>
      </c>
      <c r="CL12">
        <v>1</v>
      </c>
      <c r="CM12">
        <v>130</v>
      </c>
      <c r="CN12">
        <v>93</v>
      </c>
      <c r="CO12">
        <v>92</v>
      </c>
      <c r="CP12">
        <v>85</v>
      </c>
      <c r="CQ12">
        <v>107</v>
      </c>
      <c r="CR12">
        <v>101</v>
      </c>
      <c r="CS12">
        <v>2</v>
      </c>
      <c r="CT12">
        <v>344</v>
      </c>
      <c r="CU12">
        <v>283</v>
      </c>
      <c r="CV12">
        <v>281</v>
      </c>
      <c r="CW12">
        <v>270</v>
      </c>
      <c r="CX12">
        <v>283</v>
      </c>
      <c r="CY12">
        <v>298</v>
      </c>
      <c r="CZ12">
        <v>1</v>
      </c>
      <c r="DA12">
        <v>288</v>
      </c>
      <c r="DB12">
        <v>330</v>
      </c>
      <c r="DC12">
        <v>347</v>
      </c>
      <c r="DD12">
        <v>419</v>
      </c>
      <c r="DE12">
        <v>315</v>
      </c>
      <c r="DF12">
        <v>310</v>
      </c>
      <c r="DG12">
        <v>3</v>
      </c>
      <c r="DH12">
        <v>68</v>
      </c>
      <c r="DI12">
        <v>67</v>
      </c>
      <c r="DJ12">
        <v>66</v>
      </c>
      <c r="DK12">
        <v>93</v>
      </c>
      <c r="DL12">
        <v>62</v>
      </c>
      <c r="DM12">
        <v>90</v>
      </c>
      <c r="DN12">
        <v>4</v>
      </c>
      <c r="DO12">
        <v>921</v>
      </c>
      <c r="DP12">
        <v>891</v>
      </c>
      <c r="DQ12">
        <v>852</v>
      </c>
      <c r="DR12">
        <v>866</v>
      </c>
      <c r="DS12">
        <v>959</v>
      </c>
      <c r="DT12">
        <v>852</v>
      </c>
      <c r="DU12">
        <v>3</v>
      </c>
      <c r="DV12">
        <v>8.3000000000000007</v>
      </c>
      <c r="DW12">
        <v>9.1999999999999993</v>
      </c>
      <c r="DX12">
        <v>9.1</v>
      </c>
      <c r="DY12">
        <v>8.9</v>
      </c>
      <c r="DZ12">
        <v>9.3000000000000007</v>
      </c>
      <c r="EA12">
        <v>9.4</v>
      </c>
      <c r="EB12">
        <v>3</v>
      </c>
      <c r="EC12">
        <v>1</v>
      </c>
      <c r="ED12">
        <v>2</v>
      </c>
      <c r="EE12">
        <v>2</v>
      </c>
      <c r="EF12">
        <v>2</v>
      </c>
      <c r="EG12">
        <v>2</v>
      </c>
      <c r="EH12">
        <v>2</v>
      </c>
      <c r="EI12">
        <v>8</v>
      </c>
      <c r="EJ12">
        <v>60</v>
      </c>
      <c r="EK12">
        <v>74</v>
      </c>
      <c r="EL12">
        <v>71</v>
      </c>
      <c r="EM12">
        <v>75</v>
      </c>
      <c r="EN12">
        <v>74</v>
      </c>
      <c r="EO12">
        <v>74</v>
      </c>
      <c r="EP12">
        <v>6</v>
      </c>
      <c r="EQ12">
        <v>25</v>
      </c>
    </row>
    <row r="13" spans="1:147" x14ac:dyDescent="0.25">
      <c r="A13" t="s">
        <v>242</v>
      </c>
      <c r="D13">
        <v>11</v>
      </c>
      <c r="E13">
        <v>3.7</v>
      </c>
      <c r="F13">
        <v>11</v>
      </c>
      <c r="G13">
        <v>3.7</v>
      </c>
      <c r="H13">
        <v>11</v>
      </c>
      <c r="I13">
        <v>3.7</v>
      </c>
      <c r="J13">
        <v>11</v>
      </c>
      <c r="K13">
        <v>3.7</v>
      </c>
      <c r="L13">
        <v>11</v>
      </c>
      <c r="M13">
        <v>3.7</v>
      </c>
      <c r="N13">
        <v>12</v>
      </c>
      <c r="O13">
        <v>4</v>
      </c>
      <c r="P13">
        <v>5</v>
      </c>
      <c r="Q13">
        <v>4</v>
      </c>
      <c r="R13">
        <v>4</v>
      </c>
      <c r="S13">
        <v>4</v>
      </c>
      <c r="T13">
        <v>3</v>
      </c>
      <c r="U13">
        <v>3</v>
      </c>
      <c r="V13">
        <v>26.6</v>
      </c>
      <c r="W13">
        <v>24</v>
      </c>
      <c r="X13">
        <v>24</v>
      </c>
      <c r="Y13">
        <v>22.9</v>
      </c>
      <c r="Z13">
        <v>15.2</v>
      </c>
      <c r="AA13">
        <v>24</v>
      </c>
      <c r="AB13">
        <v>312</v>
      </c>
      <c r="AC13">
        <v>321</v>
      </c>
      <c r="AD13">
        <v>321</v>
      </c>
      <c r="AE13">
        <v>299</v>
      </c>
      <c r="AF13">
        <v>356</v>
      </c>
      <c r="AG13">
        <v>328</v>
      </c>
      <c r="AH13">
        <v>12</v>
      </c>
      <c r="AI13">
        <v>26</v>
      </c>
      <c r="AJ13">
        <v>37</v>
      </c>
      <c r="AK13">
        <v>41</v>
      </c>
      <c r="AL13">
        <v>53</v>
      </c>
      <c r="AM13">
        <v>80</v>
      </c>
      <c r="AN13">
        <v>39</v>
      </c>
      <c r="AO13">
        <v>12</v>
      </c>
      <c r="AP13">
        <v>128</v>
      </c>
      <c r="AQ13">
        <v>146</v>
      </c>
      <c r="AR13">
        <v>145</v>
      </c>
      <c r="AS13">
        <v>127</v>
      </c>
      <c r="AT13">
        <v>121</v>
      </c>
      <c r="AU13">
        <v>131</v>
      </c>
      <c r="AV13">
        <v>12</v>
      </c>
      <c r="AW13">
        <v>25</v>
      </c>
      <c r="AX13">
        <v>25</v>
      </c>
      <c r="AY13">
        <v>31</v>
      </c>
      <c r="AZ13">
        <v>31</v>
      </c>
      <c r="BA13">
        <v>31</v>
      </c>
      <c r="BB13">
        <v>37</v>
      </c>
      <c r="BC13">
        <v>12</v>
      </c>
      <c r="BD13">
        <v>133</v>
      </c>
      <c r="BE13">
        <v>113</v>
      </c>
      <c r="BF13">
        <v>104</v>
      </c>
      <c r="BG13">
        <v>88</v>
      </c>
      <c r="BH13">
        <v>124</v>
      </c>
      <c r="BI13">
        <v>121</v>
      </c>
      <c r="BJ13">
        <v>3</v>
      </c>
      <c r="BK13">
        <v>295</v>
      </c>
      <c r="BL13">
        <v>347</v>
      </c>
      <c r="BM13">
        <v>324</v>
      </c>
      <c r="BN13">
        <v>371</v>
      </c>
      <c r="BO13">
        <v>350</v>
      </c>
      <c r="BP13">
        <v>327</v>
      </c>
      <c r="BQ13">
        <v>12</v>
      </c>
      <c r="BR13">
        <v>43</v>
      </c>
      <c r="BS13">
        <v>73</v>
      </c>
      <c r="BT13">
        <v>63</v>
      </c>
      <c r="BU13">
        <v>58</v>
      </c>
      <c r="BV13">
        <v>59</v>
      </c>
      <c r="BW13">
        <v>52</v>
      </c>
      <c r="BX13">
        <v>5</v>
      </c>
      <c r="BY13">
        <v>115</v>
      </c>
      <c r="BZ13">
        <v>120</v>
      </c>
      <c r="CA13">
        <v>119</v>
      </c>
      <c r="CB13">
        <v>160</v>
      </c>
      <c r="CC13">
        <v>139</v>
      </c>
      <c r="CD13">
        <v>140</v>
      </c>
      <c r="CE13">
        <v>12</v>
      </c>
      <c r="CF13">
        <v>181</v>
      </c>
      <c r="CG13">
        <v>154</v>
      </c>
      <c r="CH13">
        <v>142</v>
      </c>
      <c r="CI13">
        <v>153</v>
      </c>
      <c r="CJ13">
        <v>152</v>
      </c>
      <c r="CK13">
        <v>135</v>
      </c>
      <c r="CL13">
        <v>12</v>
      </c>
      <c r="CM13">
        <v>25</v>
      </c>
      <c r="CN13">
        <v>27</v>
      </c>
      <c r="CO13">
        <v>25</v>
      </c>
      <c r="CP13">
        <v>18</v>
      </c>
      <c r="CQ13">
        <v>17</v>
      </c>
      <c r="CR13">
        <v>14</v>
      </c>
      <c r="CS13">
        <v>12</v>
      </c>
      <c r="CT13">
        <v>92</v>
      </c>
      <c r="CU13">
        <v>82</v>
      </c>
      <c r="CV13">
        <v>73</v>
      </c>
      <c r="CW13">
        <v>83</v>
      </c>
      <c r="CX13">
        <v>88</v>
      </c>
      <c r="CY13">
        <v>75</v>
      </c>
      <c r="CZ13">
        <v>12</v>
      </c>
      <c r="DA13">
        <v>19</v>
      </c>
      <c r="DB13">
        <v>15</v>
      </c>
      <c r="DC13">
        <v>18</v>
      </c>
      <c r="DD13">
        <v>13</v>
      </c>
      <c r="DE13">
        <v>18</v>
      </c>
      <c r="DF13">
        <v>20</v>
      </c>
      <c r="DG13">
        <v>12</v>
      </c>
      <c r="DH13">
        <v>45</v>
      </c>
      <c r="DI13">
        <v>30</v>
      </c>
      <c r="DJ13">
        <v>26</v>
      </c>
      <c r="DK13">
        <v>39</v>
      </c>
      <c r="DL13">
        <v>29</v>
      </c>
      <c r="DM13">
        <v>26</v>
      </c>
      <c r="DN13">
        <v>6</v>
      </c>
      <c r="DO13">
        <v>367</v>
      </c>
      <c r="DP13">
        <v>351</v>
      </c>
      <c r="DQ13">
        <v>353</v>
      </c>
      <c r="DR13">
        <v>356</v>
      </c>
      <c r="DS13">
        <v>429</v>
      </c>
      <c r="DT13">
        <v>388</v>
      </c>
      <c r="DU13">
        <v>11</v>
      </c>
      <c r="DV13">
        <v>10.8</v>
      </c>
      <c r="DW13">
        <v>10.7</v>
      </c>
      <c r="DX13">
        <v>11.4</v>
      </c>
      <c r="DY13">
        <v>11.7</v>
      </c>
      <c r="DZ13">
        <v>12.2</v>
      </c>
      <c r="EA13">
        <v>12.1</v>
      </c>
      <c r="EB13">
        <v>8</v>
      </c>
      <c r="EC13" t="s">
        <v>91</v>
      </c>
      <c r="ED13" t="s">
        <v>91</v>
      </c>
      <c r="EE13" t="s">
        <v>91</v>
      </c>
      <c r="EF13">
        <v>1</v>
      </c>
      <c r="EG13">
        <v>1</v>
      </c>
      <c r="EH13">
        <v>1</v>
      </c>
      <c r="EI13">
        <v>12</v>
      </c>
      <c r="EJ13">
        <v>28</v>
      </c>
      <c r="EK13">
        <v>23</v>
      </c>
      <c r="EL13">
        <v>21</v>
      </c>
      <c r="EM13">
        <v>30</v>
      </c>
      <c r="EN13">
        <v>28</v>
      </c>
      <c r="EO13">
        <v>27</v>
      </c>
      <c r="EP13">
        <v>11</v>
      </c>
      <c r="EQ13">
        <v>3</v>
      </c>
    </row>
    <row r="15" spans="1:147" x14ac:dyDescent="0.25">
      <c r="A15" t="s">
        <v>224</v>
      </c>
      <c r="D15">
        <v>167</v>
      </c>
      <c r="E15">
        <v>55.7</v>
      </c>
      <c r="F15">
        <v>167</v>
      </c>
      <c r="G15">
        <v>55.7</v>
      </c>
      <c r="H15">
        <v>167</v>
      </c>
      <c r="I15">
        <v>55.7</v>
      </c>
      <c r="J15">
        <v>167</v>
      </c>
      <c r="K15">
        <v>55.7</v>
      </c>
      <c r="L15">
        <v>166</v>
      </c>
      <c r="M15">
        <v>55.3</v>
      </c>
      <c r="N15">
        <v>167</v>
      </c>
      <c r="O15">
        <v>55.7</v>
      </c>
      <c r="P15">
        <v>91</v>
      </c>
      <c r="Q15">
        <v>90</v>
      </c>
      <c r="R15">
        <v>88</v>
      </c>
      <c r="S15">
        <v>86</v>
      </c>
      <c r="T15">
        <v>89</v>
      </c>
      <c r="U15">
        <v>86</v>
      </c>
      <c r="V15">
        <v>181.6</v>
      </c>
      <c r="W15">
        <v>211.7</v>
      </c>
      <c r="X15">
        <v>212.2</v>
      </c>
      <c r="Y15">
        <v>179</v>
      </c>
      <c r="Z15">
        <v>146.9</v>
      </c>
      <c r="AA15">
        <v>179.9</v>
      </c>
      <c r="AB15">
        <v>1003</v>
      </c>
      <c r="AC15" s="1">
        <v>1003</v>
      </c>
      <c r="AD15" s="1">
        <v>1006</v>
      </c>
      <c r="AE15" s="1">
        <v>1037</v>
      </c>
      <c r="AF15" s="1">
        <v>1104</v>
      </c>
      <c r="AG15" s="1">
        <v>1049</v>
      </c>
      <c r="AI15">
        <v>280</v>
      </c>
      <c r="AJ15">
        <v>282</v>
      </c>
      <c r="AK15">
        <v>284</v>
      </c>
      <c r="AL15">
        <v>292</v>
      </c>
      <c r="AM15">
        <v>305</v>
      </c>
      <c r="AN15">
        <v>278</v>
      </c>
      <c r="AP15">
        <v>359</v>
      </c>
      <c r="AQ15">
        <v>353</v>
      </c>
      <c r="AR15">
        <v>352</v>
      </c>
      <c r="AS15">
        <v>345</v>
      </c>
      <c r="AT15">
        <v>343</v>
      </c>
      <c r="AU15">
        <v>347</v>
      </c>
      <c r="AW15">
        <v>224</v>
      </c>
      <c r="AX15">
        <v>228</v>
      </c>
      <c r="AY15">
        <v>230</v>
      </c>
      <c r="AZ15">
        <v>246</v>
      </c>
      <c r="BA15">
        <v>247</v>
      </c>
      <c r="BB15">
        <v>237</v>
      </c>
      <c r="BD15">
        <v>140</v>
      </c>
      <c r="BE15">
        <v>140</v>
      </c>
      <c r="BF15">
        <v>140</v>
      </c>
      <c r="BG15">
        <v>154</v>
      </c>
      <c r="BH15">
        <v>209</v>
      </c>
      <c r="BI15">
        <v>187</v>
      </c>
      <c r="BK15" s="1">
        <v>1027</v>
      </c>
      <c r="BL15" s="1">
        <v>1048</v>
      </c>
      <c r="BM15" s="1">
        <v>1069</v>
      </c>
      <c r="BN15" s="1">
        <v>1087</v>
      </c>
      <c r="BO15" s="1">
        <v>1068</v>
      </c>
      <c r="BP15" s="1">
        <v>1129</v>
      </c>
      <c r="BR15">
        <v>39</v>
      </c>
      <c r="BS15">
        <v>40</v>
      </c>
      <c r="BT15">
        <v>43</v>
      </c>
      <c r="BU15">
        <v>41</v>
      </c>
      <c r="BV15">
        <v>42</v>
      </c>
      <c r="BW15">
        <v>42</v>
      </c>
      <c r="BY15">
        <v>430</v>
      </c>
      <c r="BZ15">
        <v>460</v>
      </c>
      <c r="CA15">
        <v>471</v>
      </c>
      <c r="CB15">
        <v>504</v>
      </c>
      <c r="CC15">
        <v>491</v>
      </c>
      <c r="CD15">
        <v>517</v>
      </c>
      <c r="CF15">
        <v>597</v>
      </c>
      <c r="CG15">
        <v>548</v>
      </c>
      <c r="CH15">
        <v>555</v>
      </c>
      <c r="CI15">
        <v>542</v>
      </c>
      <c r="CJ15">
        <v>535</v>
      </c>
      <c r="CK15">
        <v>570</v>
      </c>
      <c r="CM15">
        <v>107</v>
      </c>
      <c r="CN15">
        <v>80</v>
      </c>
      <c r="CO15">
        <v>84</v>
      </c>
      <c r="CP15">
        <v>78</v>
      </c>
      <c r="CQ15">
        <v>73</v>
      </c>
      <c r="CR15">
        <v>73</v>
      </c>
      <c r="CT15">
        <v>224</v>
      </c>
      <c r="CU15">
        <v>196</v>
      </c>
      <c r="CV15">
        <v>197</v>
      </c>
      <c r="CW15">
        <v>190</v>
      </c>
      <c r="CX15">
        <v>189</v>
      </c>
      <c r="CY15">
        <v>201</v>
      </c>
      <c r="DA15">
        <v>185</v>
      </c>
      <c r="DB15">
        <v>178</v>
      </c>
      <c r="DC15">
        <v>177</v>
      </c>
      <c r="DD15">
        <v>175</v>
      </c>
      <c r="DE15">
        <v>176</v>
      </c>
      <c r="DF15">
        <v>187</v>
      </c>
      <c r="DH15">
        <v>81</v>
      </c>
      <c r="DI15">
        <v>94</v>
      </c>
      <c r="DJ15">
        <v>97</v>
      </c>
      <c r="DK15">
        <v>99</v>
      </c>
      <c r="DL15">
        <v>97</v>
      </c>
      <c r="DM15">
        <v>109</v>
      </c>
      <c r="DO15">
        <v>798</v>
      </c>
      <c r="DP15">
        <v>821</v>
      </c>
      <c r="DQ15">
        <v>833</v>
      </c>
      <c r="DR15">
        <v>908</v>
      </c>
      <c r="DS15">
        <v>959</v>
      </c>
      <c r="DT15" s="1">
        <v>929</v>
      </c>
      <c r="DV15">
        <v>10.8</v>
      </c>
      <c r="DW15">
        <v>11.7</v>
      </c>
      <c r="DX15">
        <v>11.7</v>
      </c>
      <c r="DY15">
        <v>12.2</v>
      </c>
      <c r="DZ15">
        <v>12.7</v>
      </c>
      <c r="EA15">
        <v>12.2</v>
      </c>
      <c r="EC15">
        <v>2</v>
      </c>
      <c r="ED15">
        <v>2</v>
      </c>
      <c r="EE15">
        <v>2</v>
      </c>
      <c r="EF15">
        <v>2</v>
      </c>
      <c r="EG15">
        <v>2</v>
      </c>
      <c r="EH15">
        <v>2</v>
      </c>
      <c r="EJ15">
        <v>56</v>
      </c>
      <c r="EK15">
        <v>59</v>
      </c>
      <c r="EL15">
        <v>59</v>
      </c>
      <c r="EM15">
        <v>53</v>
      </c>
      <c r="EN15">
        <v>50</v>
      </c>
      <c r="EO15">
        <v>53</v>
      </c>
      <c r="EQ15">
        <v>30</v>
      </c>
    </row>
  </sheetData>
  <sheetProtection password="C897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224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58410</v>
      </c>
      <c r="H5" s="3">
        <f>VLOOKUP($A$2,'Circuit Data'!$A$2:$ED$15,7,)</f>
        <v>61104</v>
      </c>
      <c r="I5" s="3">
        <f>VLOOKUP($A$2,'Circuit Data'!$A$2:$ED$15,6,)</f>
        <v>57740</v>
      </c>
      <c r="J5" s="3">
        <f>VLOOKUP($A$2,'Circuit Data'!$A$2:$ED$15,5,)</f>
        <v>55992</v>
      </c>
      <c r="K5" s="3">
        <f>VLOOKUP($A$2,'Circuit Data'!$A$2:$ED$15,4,)</f>
        <v>55847</v>
      </c>
      <c r="L5" s="3">
        <f>VLOOKUP($A$2,'Circuit Data'!$A$2:$ED$15,3,)</f>
        <v>55817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15472</v>
      </c>
      <c r="H6" s="3">
        <f>VLOOKUP($A$2,'Circuit Data'!$A$2:$ED$15,13,)</f>
        <v>16853</v>
      </c>
      <c r="I6" s="3">
        <f>VLOOKUP($A$2,'Circuit Data'!$A$2:$ED$15,12,)</f>
        <v>16249</v>
      </c>
      <c r="J6" s="3">
        <f>VLOOKUP($A$2,'Circuit Data'!$A$2:$ED$15,11,)</f>
        <v>15789</v>
      </c>
      <c r="K6" s="3">
        <f>VLOOKUP($A$2,'Circuit Data'!$A$2:$ED$15,10,)</f>
        <v>15716</v>
      </c>
      <c r="L6" s="3">
        <f>VLOOKUP($A$2,'Circuit Data'!$A$2:$ED$15,9,)</f>
        <v>15605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19389</v>
      </c>
      <c r="H7" s="3">
        <f>VLOOKUP($A$2,'Circuit Data'!$A$2:$ED$15,19,)</f>
        <v>19001</v>
      </c>
      <c r="I7" s="3">
        <f>VLOOKUP($A$2,'Circuit Data'!$A$2:$ED$15,18,)</f>
        <v>19211</v>
      </c>
      <c r="J7" s="3">
        <f>VLOOKUP($A$2,'Circuit Data'!$A$2:$ED$15,17,)</f>
        <v>19593</v>
      </c>
      <c r="K7" s="3">
        <f>VLOOKUP($A$2,'Circuit Data'!$A$2:$ED$15,16,)</f>
        <v>19655</v>
      </c>
      <c r="L7" s="3">
        <f>VLOOKUP($A$2,'Circuit Data'!$A$2:$ED$15,15,)</f>
        <v>19973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13167</v>
      </c>
      <c r="H8" s="3">
        <f>VLOOKUP($A$2,'Circuit Data'!$A$2:$ED$15,25,)</f>
        <v>13667</v>
      </c>
      <c r="I8" s="3">
        <f>VLOOKUP($A$2,'Circuit Data'!$A$2:$ED$15,24,)</f>
        <v>13710</v>
      </c>
      <c r="J8" s="3">
        <f>VLOOKUP($A$2,'Circuit Data'!$A$2:$ED$15,23,)</f>
        <v>12797</v>
      </c>
      <c r="K8" s="3">
        <f>VLOOKUP($A$2,'Circuit Data'!$A$2:$ED$15,22,)</f>
        <v>12689</v>
      </c>
      <c r="L8" s="3">
        <f>VLOOKUP($A$2,'Circuit Data'!$A$2:$ED$15,21,)</f>
        <v>12453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10382</v>
      </c>
      <c r="H9" s="3">
        <f>VLOOKUP($A$2,'Circuit Data'!$A$2:$ED$15,31,)</f>
        <v>11583</v>
      </c>
      <c r="I9" s="3">
        <f>VLOOKUP($A$2,'Circuit Data'!$A$2:$ED$15,30,)</f>
        <v>8570</v>
      </c>
      <c r="J9" s="3">
        <f>VLOOKUP($A$2,'Circuit Data'!$A$2:$ED$15,29,)</f>
        <v>7813</v>
      </c>
      <c r="K9" s="3">
        <f>VLOOKUP($A$2,'Circuit Data'!$A$2:$ED$15,28,)</f>
        <v>7787</v>
      </c>
      <c r="L9" s="3">
        <f>VLOOKUP($A$2,'Circuit Data'!$A$2:$ED$15,27,)</f>
        <v>7786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-0.1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-4.4000000000000004</v>
      </c>
      <c r="H11" s="5">
        <f>VLOOKUP($A$2,'Circuit Data'!$A$2:$ED$15,37,)</f>
        <v>-8.6999999999999993</v>
      </c>
      <c r="I11" s="5">
        <f>VLOOKUP($A$2,'Circuit Data'!$A$2:$ED$15,36,)</f>
        <v>-3.3</v>
      </c>
      <c r="J11" s="5">
        <f>VLOOKUP($A$2,'Circuit Data'!$A$2:$ED$15,35,)</f>
        <v>-0.3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62846</v>
      </c>
      <c r="H12" s="9">
        <f>VLOOKUP($A$2,'Circuit Data'!$A$2:$ED$15,43,)</f>
        <v>59096</v>
      </c>
      <c r="I12" s="3">
        <f>VLOOKUP($A$2,'Circuit Data'!$A$2:$ED$15,42,)</f>
        <v>60508</v>
      </c>
      <c r="J12" s="3">
        <f>VLOOKUP($A$2,'Circuit Data'!$A$2:$ED$15,41,)</f>
        <v>59526</v>
      </c>
      <c r="K12" s="3">
        <f>VLOOKUP($A$2,'Circuit Data'!$A$2:$ED$15,40,)</f>
        <v>58319</v>
      </c>
      <c r="L12" s="3">
        <f>VLOOKUP($A$2,'Circuit Data'!$A$2:$ED$15,39,)</f>
        <v>57173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2374</v>
      </c>
      <c r="H13" s="3">
        <f>VLOOKUP($A$2,'Circuit Data'!$A$2:$ED$15,49,)</f>
        <v>2327</v>
      </c>
      <c r="I13" s="3">
        <f>VLOOKUP($A$2,'Circuit Data'!$A$2:$ED$15,48,)</f>
        <v>2319</v>
      </c>
      <c r="J13" s="3">
        <f>VLOOKUP($A$2,'Circuit Data'!$A$2:$ED$15,47,)</f>
        <v>2379</v>
      </c>
      <c r="K13" s="3">
        <f>VLOOKUP($A$2,'Circuit Data'!$A$2:$ED$15,46,)</f>
        <v>2186</v>
      </c>
      <c r="L13" s="3">
        <f>VLOOKUP($A$2,'Circuit Data'!$A$2:$ED$15,45,)</f>
        <v>2160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28755</v>
      </c>
      <c r="H14" s="3">
        <f>VLOOKUP($A$2,'Circuit Data'!$A$2:$ED$15,55,)</f>
        <v>27161</v>
      </c>
      <c r="I14" s="3">
        <f>VLOOKUP($A$2,'Circuit Data'!$A$2:$ED$15,54,)</f>
        <v>28029</v>
      </c>
      <c r="J14" s="3">
        <f>VLOOKUP($A$2,'Circuit Data'!$A$2:$ED$15,53,)</f>
        <v>26233</v>
      </c>
      <c r="K14" s="3">
        <f>VLOOKUP($A$2,'Circuit Data'!$A$2:$ED$15,52,)</f>
        <v>25621</v>
      </c>
      <c r="L14" s="3">
        <f>VLOOKUP($A$2,'Circuit Data'!$A$2:$ED$15,51,)</f>
        <v>23939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31717</v>
      </c>
      <c r="H15" s="3">
        <f>VLOOKUP($A$2,'Circuit Data'!$A$2:$ED$15,61,)</f>
        <v>29608</v>
      </c>
      <c r="I15" s="3">
        <f>VLOOKUP($A$2,'Circuit Data'!$A$2:$ED$15,60,)</f>
        <v>30160</v>
      </c>
      <c r="J15" s="3">
        <f>VLOOKUP($A$2,'Circuit Data'!$A$2:$ED$15,59,)</f>
        <v>30914</v>
      </c>
      <c r="K15" s="3">
        <f>VLOOKUP($A$2,'Circuit Data'!$A$2:$ED$15,58,)</f>
        <v>30512</v>
      </c>
      <c r="L15" s="3">
        <f>VLOOKUP($A$2,'Circuit Data'!$A$2:$ED$15,57,)</f>
        <v>33234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4068</v>
      </c>
      <c r="H16" s="3">
        <f>VLOOKUP($A$2,'Circuit Data'!$A$2:$ED$15,67,)</f>
        <v>4025</v>
      </c>
      <c r="I16" s="3">
        <f>VLOOKUP($A$2,'Circuit Data'!$A$2:$ED$15,66,)</f>
        <v>4362</v>
      </c>
      <c r="J16" s="3">
        <f>VLOOKUP($A$2,'Circuit Data'!$A$2:$ED$15,65,)</f>
        <v>4669</v>
      </c>
      <c r="K16" s="3">
        <f>VLOOKUP($A$2,'Circuit Data'!$A$2:$ED$15,64,)</f>
        <v>4464</v>
      </c>
      <c r="L16" s="3">
        <f>VLOOKUP($A$2,'Circuit Data'!$A$2:$ED$15,63,)</f>
        <v>5954</v>
      </c>
    </row>
    <row r="17" spans="1:18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11190</v>
      </c>
      <c r="H17" s="3">
        <f>VLOOKUP($A$2,'Circuit Data'!$A$2:$ED$15,73,)</f>
        <v>10485</v>
      </c>
      <c r="I17" s="3">
        <f>VLOOKUP($A$2,'Circuit Data'!$A$2:$ED$15,72,)</f>
        <v>10518</v>
      </c>
      <c r="J17" s="3">
        <f>VLOOKUP($A$2,'Circuit Data'!$A$2:$ED$15,71,)</f>
        <v>11025</v>
      </c>
      <c r="K17" s="3">
        <f>VLOOKUP($A$2,'Circuit Data'!$A$2:$ED$15,70,)</f>
        <v>10904</v>
      </c>
      <c r="L17" s="3">
        <f>VLOOKUP($A$2,'Circuit Data'!$A$2:$ED$15,69,)</f>
        <v>12444</v>
      </c>
    </row>
    <row r="18" spans="1:18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10393</v>
      </c>
      <c r="H18" s="3">
        <f>VLOOKUP($A$2,'Circuit Data'!$A$2:$ED$15,79,)</f>
        <v>9731</v>
      </c>
      <c r="I18" s="3">
        <f>VLOOKUP($A$2,'Circuit Data'!$A$2:$ED$15,78,)</f>
        <v>9744</v>
      </c>
      <c r="J18" s="3">
        <f>VLOOKUP($A$2,'Circuit Data'!$A$2:$ED$15,77,)</f>
        <v>9842</v>
      </c>
      <c r="K18" s="3">
        <f>VLOOKUP($A$2,'Circuit Data'!$A$2:$ED$15,76,)</f>
        <v>9892</v>
      </c>
      <c r="L18" s="3">
        <f>VLOOKUP($A$2,'Circuit Data'!$A$2:$ED$15,75,)</f>
        <v>10321</v>
      </c>
    </row>
    <row r="19" spans="1:18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6066</v>
      </c>
      <c r="H19" s="3">
        <f>VLOOKUP($A$2,'Circuit Data'!$A$2:$ED$15,85,)</f>
        <v>5367</v>
      </c>
      <c r="I19" s="3">
        <f>VLOOKUP($A$2,'Circuit Data'!$A$2:$ED$15,84,)</f>
        <v>5536</v>
      </c>
      <c r="J19" s="3">
        <f>VLOOKUP($A$2,'Circuit Data'!$A$2:$ED$15,83,)</f>
        <v>5378</v>
      </c>
      <c r="K19" s="3">
        <f>VLOOKUP($A$2,'Circuit Data'!$A$2:$ED$15,82,)</f>
        <v>5252</v>
      </c>
      <c r="L19" s="3">
        <f>VLOOKUP($A$2,'Circuit Data'!$A$2:$ED$15,81,)</f>
        <v>4515</v>
      </c>
    </row>
    <row r="20" spans="1:18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75.900000000000006</v>
      </c>
      <c r="H20" s="5">
        <f>VLOOKUP($A$2,'Circuit Data'!$A$2:$ED$15,91,)</f>
        <v>76.7</v>
      </c>
      <c r="I20" s="5">
        <f>VLOOKUP($A$2,'Circuit Data'!$A$2:$ED$15,90,)</f>
        <v>76.8</v>
      </c>
      <c r="J20" s="5">
        <f>VLOOKUP($A$2,'Circuit Data'!$A$2:$ED$15,89,)</f>
        <v>73.7</v>
      </c>
      <c r="K20" s="5">
        <f>VLOOKUP($A$2,'Circuit Data'!$A$2:$ED$15,88,)</f>
        <v>74.7</v>
      </c>
      <c r="L20" s="5">
        <f>VLOOKUP($A$2,'Circuit Data'!$A$2:$ED$15,87,)</f>
        <v>69.900000000000006</v>
      </c>
    </row>
    <row r="21" spans="1:18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51742</v>
      </c>
      <c r="H21" s="3">
        <f>VLOOKUP($A$2,'Circuit Data'!$A$2:$ED$15,97,)</f>
        <v>53071</v>
      </c>
      <c r="I21" s="3">
        <f>VLOOKUP($A$2,'Circuit Data'!$A$2:$ED$15,96,)</f>
        <v>50564</v>
      </c>
      <c r="J21" s="3">
        <f>VLOOKUP($A$2,'Circuit Data'!$A$2:$ED$15,95,)</f>
        <v>46351</v>
      </c>
      <c r="K21" s="3">
        <f>VLOOKUP($A$2,'Circuit Data'!$A$2:$ED$15,94,)</f>
        <v>45709</v>
      </c>
      <c r="L21" s="3">
        <f>VLOOKUP($A$2,'Circuit Data'!$A$2:$ED$15,93,)</f>
        <v>44447</v>
      </c>
    </row>
    <row r="22" spans="1:18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481</v>
      </c>
      <c r="H22" s="3">
        <f>VLOOKUP($A$2,'Circuit Data'!$A$2:$ED$15,103,)</f>
        <v>448</v>
      </c>
      <c r="I22" s="3">
        <f>VLOOKUP($A$2,'Circuit Data'!$A$2:$ED$15,102,)</f>
        <v>461</v>
      </c>
      <c r="J22" s="3">
        <f>VLOOKUP($A$2,'Circuit Data'!$A$2:$ED$15,101,)</f>
        <v>463</v>
      </c>
      <c r="K22" s="3">
        <f>VLOOKUP($A$2,'Circuit Data'!$A$2:$ED$15,100,)</f>
        <v>459</v>
      </c>
      <c r="L22" s="3">
        <f>VLOOKUP($A$2,'Circuit Data'!$A$2:$ED$15,99,)</f>
        <v>496</v>
      </c>
    </row>
    <row r="23" spans="1:18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168</v>
      </c>
      <c r="H23" s="3">
        <f>VLOOKUP($A$2,'Circuit Data'!$A$2:$ED$15,109,)</f>
        <v>156</v>
      </c>
      <c r="I23" s="3">
        <f>VLOOKUP($A$2,'Circuit Data'!$A$2:$ED$15,108,)</f>
        <v>179</v>
      </c>
      <c r="J23" s="3">
        <f>VLOOKUP($A$2,'Circuit Data'!$A$2:$ED$15,107,)</f>
        <v>161</v>
      </c>
      <c r="K23" s="3">
        <f>VLOOKUP($A$2,'Circuit Data'!$A$2:$ED$15,106,)</f>
        <v>153</v>
      </c>
      <c r="L23" s="3">
        <f>VLOOKUP($A$2,'Circuit Data'!$A$2:$ED$15,105,)</f>
        <v>138</v>
      </c>
    </row>
    <row r="24" spans="1:18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164</v>
      </c>
      <c r="H24" s="3">
        <f>VLOOKUP($A$2,'Circuit Data'!$A$2:$ED$15,115,)</f>
        <v>152</v>
      </c>
      <c r="I24" s="3">
        <f>VLOOKUP($A$2,'Circuit Data'!$A$2:$ED$15,114,)</f>
        <v>156</v>
      </c>
      <c r="J24" s="3">
        <f>VLOOKUP($A$2,'Circuit Data'!$A$2:$ED$15,113,)</f>
        <v>158</v>
      </c>
      <c r="K24" s="3">
        <f>VLOOKUP($A$2,'Circuit Data'!$A$2:$ED$15,112,)</f>
        <v>157</v>
      </c>
      <c r="L24" s="3">
        <f>VLOOKUP($A$2,'Circuit Data'!$A$2:$ED$15,111,)</f>
        <v>160</v>
      </c>
    </row>
    <row r="25" spans="1:18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55</v>
      </c>
      <c r="H25" s="3">
        <f>VLOOKUP($A$2,'Circuit Data'!$A$2:$ED$15,121,)</f>
        <v>54</v>
      </c>
      <c r="I25" s="3">
        <f>VLOOKUP($A$2,'Circuit Data'!$A$2:$ED$15,120,)</f>
        <v>52</v>
      </c>
      <c r="J25" s="3">
        <f>VLOOKUP($A$2,'Circuit Data'!$A$2:$ED$15,119,)</f>
        <v>55</v>
      </c>
      <c r="K25" s="3">
        <f>VLOOKUP($A$2,'Circuit Data'!$A$2:$ED$15,118,)</f>
        <v>53</v>
      </c>
      <c r="L25" s="3">
        <f>VLOOKUP($A$2,'Circuit Data'!$A$2:$ED$15,117,)</f>
        <v>51</v>
      </c>
    </row>
    <row r="26" spans="1:18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104</v>
      </c>
      <c r="H26" s="3">
        <f>VLOOKUP($A$2,'Circuit Data'!$A$2:$ED$15,127,)</f>
        <v>92</v>
      </c>
      <c r="I26" s="3">
        <f>VLOOKUP($A$2,'Circuit Data'!$A$2:$ED$15,126,)</f>
        <v>97</v>
      </c>
      <c r="J26" s="3">
        <f>VLOOKUP($A$2,'Circuit Data'!$A$2:$ED$15,125,)</f>
        <v>93</v>
      </c>
      <c r="K26" s="3">
        <f>VLOOKUP($A$2,'Circuit Data'!$A$2:$ED$15,124,)</f>
        <v>93</v>
      </c>
      <c r="L26" s="3">
        <f>VLOOKUP($A$2,'Circuit Data'!$A$2:$ED$15,123,)</f>
        <v>93</v>
      </c>
    </row>
    <row r="27" spans="1:18" ht="41.25" customHeight="1" x14ac:dyDescent="0.25">
      <c r="A27" s="27"/>
      <c r="B27" s="27"/>
      <c r="C27" s="43"/>
      <c r="D27" s="36"/>
      <c r="E27" s="29" t="s">
        <v>215</v>
      </c>
      <c r="F27" s="29"/>
      <c r="G27" s="3">
        <f>VLOOKUP($A$2,'Circuit Data'!$A$2:$ED$15,134,)</f>
        <v>5</v>
      </c>
      <c r="H27" s="3">
        <f>VLOOKUP($A$2,'Circuit Data'!$A$2:$ED$15,133,)</f>
        <v>6</v>
      </c>
      <c r="I27" s="3">
        <f>VLOOKUP($A$2,'Circuit Data'!$A$2:$ED$15,132,)</f>
        <v>7</v>
      </c>
      <c r="J27" s="3">
        <f>VLOOKUP($A$2,'Circuit Data'!$A$2:$ED$15,131,)</f>
        <v>10</v>
      </c>
      <c r="K27" s="3">
        <f>VLOOKUP($A$2,'Circuit Data'!$A$2:$ED$15,130,)</f>
        <v>11</v>
      </c>
      <c r="L27" s="3">
        <f>VLOOKUP($A$2,'Circuit Data'!$A$2:$ED$15,129,)</f>
        <v>16</v>
      </c>
    </row>
    <row r="28" spans="1:18" ht="24.7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8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2"/>
      <c r="N29" s="22"/>
      <c r="O29" s="22"/>
      <c r="P29" s="22"/>
      <c r="Q29" s="22"/>
      <c r="R29" s="22"/>
    </row>
    <row r="30" spans="1:18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8" ht="46.5" customHeight="1" x14ac:dyDescent="0.25">
      <c r="A31" s="39" t="str">
        <f>A2</f>
        <v>NATIONAL TOTALS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8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2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</row>
    <row r="34" spans="1:12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167/55.7</v>
      </c>
      <c r="H34" s="3" t="str">
        <f>VLOOKUP($A$2,'Circuit Data2'!$A$2:$EP$15,12,)&amp;"/"&amp;TEXT(VLOOKUP($A$2,'Circuit Data2'!$A$2:$EP$15,13,),"0.0")</f>
        <v>166/55.3</v>
      </c>
      <c r="I34" s="3" t="str">
        <f>VLOOKUP($A$2,'Circuit Data2'!$A$2:$EP$15,10,)&amp;"/"&amp;TEXT(VLOOKUP($A$2,'Circuit Data2'!$A$2:$EP$15,11,),"0.0")</f>
        <v>167/55.7</v>
      </c>
      <c r="J34" s="3" t="str">
        <f>VLOOKUP($A$2,'Circuit Data2'!$A$2:$EP$15,8,)&amp;"/"&amp;TEXT(VLOOKUP($A$2,'Circuit Data2'!$A$2:$EP$15,9,),"0.0")</f>
        <v>167/55.7</v>
      </c>
      <c r="K34" s="3" t="str">
        <f>VLOOKUP($A$2,'Circuit Data2'!$A$2:$EP$15,6,)&amp;"/"&amp;TEXT(VLOOKUP($A$2,'Circuit Data2'!$A$2:$EP$15,7,),"0.0")</f>
        <v>167/55.7</v>
      </c>
      <c r="L34" s="3" t="str">
        <f>VLOOKUP($A$2,'Circuit Data2'!$A$2:$EP$15,4,)&amp;"/"&amp;TEXT(VLOOKUP($A$2,'Circuit Data2'!$A$2:$EP$15,5,),"0.0")</f>
        <v>167/55.7</v>
      </c>
    </row>
    <row r="35" spans="1:12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86</v>
      </c>
      <c r="H35" s="3">
        <f>VLOOKUP($A$2,'Circuit Data2'!$A$2:$EP$15,20,)</f>
        <v>89</v>
      </c>
      <c r="I35" s="3">
        <f>VLOOKUP($A$2,'Circuit Data2'!$A$2:$EP$15,19,)</f>
        <v>86</v>
      </c>
      <c r="J35" s="3">
        <f>VLOOKUP($A$2,'Circuit Data2'!$A$2:$EP$15,18,)</f>
        <v>88</v>
      </c>
      <c r="K35" s="3">
        <f>VLOOKUP($A$2,'Circuit Data2'!$A$2:$EP$15,17,)</f>
        <v>90</v>
      </c>
      <c r="L35" s="3">
        <f>VLOOKUP($A$2,'Circuit Data2'!$A$2:$EP$15,16,)</f>
        <v>91</v>
      </c>
    </row>
    <row r="36" spans="1:12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179.9</v>
      </c>
      <c r="H36" s="17">
        <f>VLOOKUP($A$2,'Circuit Data2'!$A$2:$EP$15,26,)</f>
        <v>146.9</v>
      </c>
      <c r="I36" s="17">
        <f>VLOOKUP($A$2,'Circuit Data2'!$A$2:$EP$15,25,)</f>
        <v>179</v>
      </c>
      <c r="J36" s="17">
        <f>VLOOKUP($A$2,'Circuit Data2'!$A$2:$EP$15,24,)</f>
        <v>212.2</v>
      </c>
      <c r="K36" s="17">
        <f>VLOOKUP($A$2,'Circuit Data2'!$A$2:$EP$15,23,)</f>
        <v>211.7</v>
      </c>
      <c r="L36" s="17">
        <f>VLOOKUP($A$2,'Circuit Data2'!$A$2:$EP$15,22,)</f>
        <v>181.6</v>
      </c>
    </row>
    <row r="37" spans="1:12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1049</v>
      </c>
      <c r="H37" s="3">
        <f>VLOOKUP($A$2,'Circuit Data2'!$A$2:$EP$15,32,)</f>
        <v>1104</v>
      </c>
      <c r="I37" s="3">
        <f>VLOOKUP($A$2,'Circuit Data2'!$A$2:$EP$15,31,)</f>
        <v>1037</v>
      </c>
      <c r="J37" s="3">
        <f>VLOOKUP($A$2,'Circuit Data2'!$A$2:$EP$15,30,)</f>
        <v>1006</v>
      </c>
      <c r="K37" s="3">
        <f>VLOOKUP($A$2,'Circuit Data2'!$A$2:$EP$15,29,)</f>
        <v>1003</v>
      </c>
      <c r="L37" s="3">
        <f>VLOOKUP($A$2,'Circuit Data2'!$A$2:$EP$15,28,)</f>
        <v>1003</v>
      </c>
    </row>
    <row r="38" spans="1:12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278</v>
      </c>
      <c r="H38" s="3">
        <f>VLOOKUP($A$2,'Circuit Data2'!$A$2:$EP$15,39,)</f>
        <v>305</v>
      </c>
      <c r="I38" s="3">
        <f>VLOOKUP($A$2,'Circuit Data2'!$A$2:$EP$15,38,)</f>
        <v>292</v>
      </c>
      <c r="J38" s="3">
        <f>VLOOKUP($A$2,'Circuit Data2'!$A$2:$EP$15,37,)</f>
        <v>284</v>
      </c>
      <c r="K38" s="3">
        <f>VLOOKUP($A$2,'Circuit Data2'!$A$2:$EP$15,36,)</f>
        <v>282</v>
      </c>
      <c r="L38" s="3">
        <f>VLOOKUP($A$2,'Circuit Data2'!$A$2:$EP$15,35,)</f>
        <v>280</v>
      </c>
    </row>
    <row r="39" spans="1:12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347</v>
      </c>
      <c r="H39" s="3">
        <f>VLOOKUP($A$2,'Circuit Data2'!$A$2:$EP$15,46,)</f>
        <v>343</v>
      </c>
      <c r="I39" s="3">
        <f>VLOOKUP($A$2,'Circuit Data2'!$A$2:$EP$15,45,)</f>
        <v>345</v>
      </c>
      <c r="J39" s="3">
        <f>VLOOKUP($A$2,'Circuit Data2'!$A$2:$EP$15,44,)</f>
        <v>352</v>
      </c>
      <c r="K39" s="3">
        <f>VLOOKUP($A$2,'Circuit Data2'!$A$2:$EP$15,43,)</f>
        <v>353</v>
      </c>
      <c r="L39" s="3">
        <f>VLOOKUP($A$2,'Circuit Data2'!$A$2:$EP$15,42,)</f>
        <v>359</v>
      </c>
    </row>
    <row r="40" spans="1:12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237</v>
      </c>
      <c r="H40" s="3">
        <f>VLOOKUP($A$2,'Circuit Data2'!$A$2:$EP$15,53,)</f>
        <v>247</v>
      </c>
      <c r="I40" s="3">
        <f>VLOOKUP($A$2,'Circuit Data2'!$A$2:$EP$15,52,)</f>
        <v>246</v>
      </c>
      <c r="J40" s="3">
        <f>VLOOKUP($A$2,'Circuit Data2'!$A$2:$EP$15,51,)</f>
        <v>230</v>
      </c>
      <c r="K40" s="14">
        <f>VLOOKUP($A$2,'Circuit Data2'!$A$2:$EP$15,50,)</f>
        <v>228</v>
      </c>
      <c r="L40" s="3">
        <f>VLOOKUP($A$2,'Circuit Data2'!$A$2:$EP$15,49,)</f>
        <v>224</v>
      </c>
    </row>
    <row r="41" spans="1:12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187</v>
      </c>
      <c r="H41" s="3">
        <f>VLOOKUP($A$2,'Circuit Data2'!$A$2:$EP$15,60,)</f>
        <v>209</v>
      </c>
      <c r="I41" s="3">
        <f>VLOOKUP($A$2,'Circuit Data2'!$A$2:$EP$15,59,)</f>
        <v>154</v>
      </c>
      <c r="J41" s="3">
        <f>VLOOKUP($A$2,'Circuit Data2'!$A$2:$EP$15,58,)</f>
        <v>140</v>
      </c>
      <c r="K41" s="3">
        <f>VLOOKUP($A$2,'Circuit Data2'!$A$2:$EP$15,57,)</f>
        <v>140</v>
      </c>
      <c r="L41" s="3">
        <f>VLOOKUP($A$2,'Circuit Data2'!$A$2:$EP$15,56,)</f>
        <v>140</v>
      </c>
    </row>
    <row r="42" spans="1:12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1129</v>
      </c>
      <c r="H42" s="3">
        <f>VLOOKUP($A$2,'Circuit Data2'!$A$2:$EP$15,67,)</f>
        <v>1068</v>
      </c>
      <c r="I42" s="3">
        <f>VLOOKUP($A$2,'Circuit Data2'!$A$2:$EP$15,66,)</f>
        <v>1087</v>
      </c>
      <c r="J42" s="3">
        <f>VLOOKUP($A$2,'Circuit Data2'!$A$2:$EP$15,65,)</f>
        <v>1069</v>
      </c>
      <c r="K42" s="3">
        <f>VLOOKUP($A$2,'Circuit Data2'!$A$2:$EP$15,64,)</f>
        <v>1048</v>
      </c>
      <c r="L42" s="3">
        <f>VLOOKUP($A$2,'Circuit Data2'!$A$2:$EP$15,63,)</f>
        <v>1027</v>
      </c>
    </row>
    <row r="43" spans="1:12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42</v>
      </c>
      <c r="H43" s="15">
        <f>VLOOKUP($A$2,'Circuit Data2'!$A$2:$EP$15,74,)</f>
        <v>42</v>
      </c>
      <c r="I43" s="3">
        <f>VLOOKUP($A$2,'Circuit Data2'!$A$2:$EP$15,73,)</f>
        <v>41</v>
      </c>
      <c r="J43" s="3">
        <f>VLOOKUP($A$2,'Circuit Data2'!$A$2:$EP$15,72,)</f>
        <v>43</v>
      </c>
      <c r="K43" s="3">
        <f>VLOOKUP($A$2,'Circuit Data2'!$A$2:$EP$15,71,)</f>
        <v>40</v>
      </c>
      <c r="L43" s="3">
        <f>VLOOKUP($A$2,'Circuit Data2'!$A$2:$EP$15,70,)</f>
        <v>39</v>
      </c>
    </row>
    <row r="44" spans="1:12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517</v>
      </c>
      <c r="H44" s="3">
        <f>VLOOKUP($A$2,'Circuit Data2'!$A$2:$EP$15,81,)</f>
        <v>491</v>
      </c>
      <c r="I44" s="3">
        <f>VLOOKUP($A$2,'Circuit Data2'!$A$2:$EP$15,80,)</f>
        <v>504</v>
      </c>
      <c r="J44" s="3">
        <f>VLOOKUP($A$2,'Circuit Data2'!$A$2:$EP$15,79,)</f>
        <v>471</v>
      </c>
      <c r="K44" s="3">
        <f>VLOOKUP($A$2,'Circuit Data2'!$A$2:$EP$15,78,)</f>
        <v>460</v>
      </c>
      <c r="L44" s="3">
        <f>VLOOKUP($A$2,'Circuit Data2'!$A$2:$EP$15,77,)</f>
        <v>430</v>
      </c>
    </row>
    <row r="45" spans="1:12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570</v>
      </c>
      <c r="H45" s="3">
        <f>VLOOKUP($A$2,'Circuit Data2'!$A$2:$EP$15,88,)</f>
        <v>535</v>
      </c>
      <c r="I45" s="3">
        <f>VLOOKUP($A$2,'Circuit Data2'!$A$2:$EP$15,87,)</f>
        <v>542</v>
      </c>
      <c r="J45" s="3">
        <f>VLOOKUP($A$2,'Circuit Data2'!$A$2:$EP$15,86,)</f>
        <v>555</v>
      </c>
      <c r="K45" s="3">
        <f>VLOOKUP($A$2,'Circuit Data2'!$A$2:$EP$15,85,)</f>
        <v>548</v>
      </c>
      <c r="L45" s="3">
        <f>VLOOKUP($A$2,'Circuit Data2'!$A$2:$EP$15,84,)</f>
        <v>597</v>
      </c>
    </row>
    <row r="46" spans="1:12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73</v>
      </c>
      <c r="H46" s="3">
        <f>VLOOKUP($A$2,'Circuit Data2'!$A$2:$EP$15,95,)</f>
        <v>73</v>
      </c>
      <c r="I46" s="3">
        <f>VLOOKUP($A$2,'Circuit Data2'!$A$2:$EP$15,94,)</f>
        <v>78</v>
      </c>
      <c r="J46" s="3">
        <f>VLOOKUP($A$2,'Circuit Data2'!$A$2:$EP$15,93,)</f>
        <v>84</v>
      </c>
      <c r="K46" s="3">
        <f>VLOOKUP($A$2,'Circuit Data2'!$A$2:$EP$15,92,)</f>
        <v>80</v>
      </c>
      <c r="L46" s="3">
        <f>VLOOKUP($A$2,'Circuit Data2'!$A$2:$EP$15,91,)</f>
        <v>107</v>
      </c>
    </row>
    <row r="47" spans="1:12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201</v>
      </c>
      <c r="H47" s="3">
        <f>VLOOKUP($A$2,'Circuit Data2'!$A$2:$EP$15,102,)</f>
        <v>189</v>
      </c>
      <c r="I47" s="3">
        <f>VLOOKUP($A$2,'Circuit Data2'!$A$2:$EP$15,101,)</f>
        <v>190</v>
      </c>
      <c r="J47" s="3">
        <f>VLOOKUP($A$2,'Circuit Data2'!$A$2:$EP$15,100,)</f>
        <v>197</v>
      </c>
      <c r="K47" s="3">
        <f>VLOOKUP($A$2,'Circuit Data2'!$A$2:$EP$15,99,)</f>
        <v>196</v>
      </c>
      <c r="L47" s="15">
        <f>VLOOKUP($A$2,'Circuit Data2'!$A$2:$EP$15,98,)</f>
        <v>224</v>
      </c>
    </row>
    <row r="48" spans="1:12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187</v>
      </c>
      <c r="H48" s="3">
        <f>VLOOKUP($A$2,'Circuit Data2'!$A$2:$EP$15,109,)</f>
        <v>176</v>
      </c>
      <c r="I48" s="3">
        <f>VLOOKUP($A$2,'Circuit Data2'!$A$2:$EP$15,108,)</f>
        <v>175</v>
      </c>
      <c r="J48" s="3">
        <f>VLOOKUP($A$2,'Circuit Data2'!$A$2:$EP$15,107,)</f>
        <v>177</v>
      </c>
      <c r="K48" s="3">
        <f>VLOOKUP($A$2,'Circuit Data2'!$A$2:$EP$15,106,)</f>
        <v>178</v>
      </c>
      <c r="L48" s="3">
        <f>VLOOKUP($A$2,'Circuit Data2'!$A$2:$EP$15,105,)</f>
        <v>185</v>
      </c>
    </row>
    <row r="49" spans="1:12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109</v>
      </c>
      <c r="H49" s="3">
        <f>VLOOKUP($A$2,'Circuit Data2'!$A$2:$EP$15,116,)</f>
        <v>97</v>
      </c>
      <c r="I49" s="3">
        <f>VLOOKUP($A$2,'Circuit Data2'!$A$2:$EP$15,115,)</f>
        <v>99</v>
      </c>
      <c r="J49" s="3">
        <f>VLOOKUP($A$2,'Circuit Data2'!$A$2:$EP$15,114,)</f>
        <v>97</v>
      </c>
      <c r="K49" s="3">
        <f>VLOOKUP($A$2,'Circuit Data2'!$A$2:$EP$15,113,)</f>
        <v>94</v>
      </c>
      <c r="L49" s="3">
        <f>VLOOKUP($A$2,'Circuit Data2'!$A$2:$EP$15,112,)</f>
        <v>81</v>
      </c>
    </row>
    <row r="50" spans="1:12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929</v>
      </c>
      <c r="H50" s="3">
        <f>VLOOKUP($A$2,'Circuit Data2'!$A$2:$EP$15,123,)</f>
        <v>959</v>
      </c>
      <c r="I50" s="3">
        <f>VLOOKUP($A$2,'Circuit Data2'!$A$2:$EP$15,122,)</f>
        <v>908</v>
      </c>
      <c r="J50" s="3">
        <f>VLOOKUP($A$2,'Circuit Data2'!$A$2:$EP$15,121,)</f>
        <v>833</v>
      </c>
      <c r="K50" s="3">
        <f>VLOOKUP($A$2,'Circuit Data2'!$A$2:$EP$15,120,)</f>
        <v>821</v>
      </c>
      <c r="L50" s="3">
        <f>VLOOKUP($A$2,'Circuit Data2'!$A$2:$EP$15,119,)</f>
        <v>798</v>
      </c>
    </row>
    <row r="51" spans="1:12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12.2</v>
      </c>
      <c r="H51" s="10">
        <f>VLOOKUP($A$2,'Circuit Data2'!$A$2:$EP$15,130,)</f>
        <v>12.7</v>
      </c>
      <c r="I51" s="5">
        <f>VLOOKUP($A$2,'Circuit Data2'!$A$2:$EP$15,129,)</f>
        <v>12.2</v>
      </c>
      <c r="J51" s="5">
        <f>VLOOKUP($A$2,'Circuit Data2'!$A$2:$EP$15,128,)</f>
        <v>11.7</v>
      </c>
      <c r="K51" s="5">
        <f>VLOOKUP($A$2,'Circuit Data2'!$A$2:$EP$15,127,)</f>
        <v>11.7</v>
      </c>
      <c r="L51" s="5">
        <f>VLOOKUP($A$2,'Circuit Data2'!$A$2:$EP$15,126,)</f>
        <v>10.8</v>
      </c>
    </row>
    <row r="52" spans="1:12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2</v>
      </c>
      <c r="H52" s="3">
        <f>VLOOKUP($A$2,'Circuit Data2'!$A$2:$EP$15,137,)</f>
        <v>2</v>
      </c>
      <c r="I52" s="3">
        <f>VLOOKUP($A$2,'Circuit Data2'!$A$2:$EP$15,136,)</f>
        <v>2</v>
      </c>
      <c r="J52" s="3">
        <f>VLOOKUP($A$2,'Circuit Data2'!$A$2:$EP$15,135,)</f>
        <v>2</v>
      </c>
      <c r="K52" s="3">
        <f>VLOOKUP($A$2,'Circuit Data2'!$A$2:$EP$15,134,)</f>
        <v>2</v>
      </c>
      <c r="L52" s="3">
        <f>VLOOKUP($A$2,'Circuit Data2'!$A$2:$EP$15,133,)</f>
        <v>2</v>
      </c>
    </row>
    <row r="53" spans="1:12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53</v>
      </c>
      <c r="H53" s="3">
        <f>VLOOKUP($A$2,'Circuit Data2'!$A$2:$EP$15,144,)</f>
        <v>50</v>
      </c>
      <c r="I53" s="3">
        <f>VLOOKUP($A$2,'Circuit Data2'!$A$2:$EP$15,143,)</f>
        <v>53</v>
      </c>
      <c r="J53" s="3">
        <f>VLOOKUP($A$2,'Circuit Data2'!$A$2:$EP$15,142,)</f>
        <v>59</v>
      </c>
      <c r="K53" s="3">
        <f>VLOOKUP($A$2,'Circuit Data2'!$A$2:$EP$15,141,)</f>
        <v>59</v>
      </c>
      <c r="L53" s="3">
        <f>VLOOKUP($A$2,'Circuit Data2'!$A$2:$EP$15,140,)</f>
        <v>56</v>
      </c>
    </row>
    <row r="54" spans="1:12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</row>
    <row r="55" spans="1:12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 spans="1:12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</sheetData>
  <mergeCells count="71">
    <mergeCell ref="G32:J32"/>
    <mergeCell ref="K32:L32"/>
    <mergeCell ref="K11:L11"/>
    <mergeCell ref="A29:L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E17:F17"/>
    <mergeCell ref="E18:F18"/>
    <mergeCell ref="E19:F19"/>
    <mergeCell ref="G1:L1"/>
    <mergeCell ref="G2:L2"/>
    <mergeCell ref="G30:L30"/>
    <mergeCell ref="D37:F37"/>
    <mergeCell ref="D38:F38"/>
    <mergeCell ref="D12:F12"/>
    <mergeCell ref="D13:F13"/>
    <mergeCell ref="D14:F14"/>
    <mergeCell ref="E27:F27"/>
    <mergeCell ref="D15:D20"/>
    <mergeCell ref="E15:F15"/>
    <mergeCell ref="E16:F16"/>
    <mergeCell ref="D23:F23"/>
    <mergeCell ref="D24:D27"/>
    <mergeCell ref="C21:F21"/>
    <mergeCell ref="D22:F22"/>
    <mergeCell ref="B51:C51"/>
    <mergeCell ref="B52:C53"/>
    <mergeCell ref="D53:F53"/>
    <mergeCell ref="D51:F51"/>
    <mergeCell ref="D42:F42"/>
    <mergeCell ref="C50:F50"/>
    <mergeCell ref="E49:F49"/>
    <mergeCell ref="A2:F4"/>
    <mergeCell ref="D36:F36"/>
    <mergeCell ref="D43:F43"/>
    <mergeCell ref="D35:F35"/>
    <mergeCell ref="E24:F24"/>
    <mergeCell ref="E25:F25"/>
    <mergeCell ref="E26:F26"/>
    <mergeCell ref="A28:L28"/>
    <mergeCell ref="D41:F41"/>
    <mergeCell ref="D39:F39"/>
    <mergeCell ref="A22:C27"/>
    <mergeCell ref="D40:F40"/>
    <mergeCell ref="G31:L31"/>
    <mergeCell ref="G3:J3"/>
    <mergeCell ref="K3:L3"/>
    <mergeCell ref="A31:F33"/>
    <mergeCell ref="E20:F20"/>
    <mergeCell ref="A56:L56"/>
    <mergeCell ref="A55:L55"/>
    <mergeCell ref="A34:B50"/>
    <mergeCell ref="C34:C36"/>
    <mergeCell ref="D34:F34"/>
    <mergeCell ref="C37:C41"/>
    <mergeCell ref="C42:C49"/>
    <mergeCell ref="D44:F44"/>
    <mergeCell ref="D45:D49"/>
    <mergeCell ref="E45:F45"/>
    <mergeCell ref="E46:F46"/>
    <mergeCell ref="E47:F47"/>
    <mergeCell ref="E48:F48"/>
    <mergeCell ref="A54:L54"/>
    <mergeCell ref="D52:F52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242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1310</v>
      </c>
      <c r="H5" s="3">
        <f>VLOOKUP($A$2,'Circuit Data'!$A$2:$ED$15,7,)</f>
        <v>1307</v>
      </c>
      <c r="I5" s="3">
        <f>VLOOKUP($A$2,'Circuit Data'!$A$2:$ED$15,6,)</f>
        <v>1097</v>
      </c>
      <c r="J5" s="3">
        <f>VLOOKUP($A$2,'Circuit Data'!$A$2:$ED$15,5,)</f>
        <v>1178</v>
      </c>
      <c r="K5" s="3">
        <f>VLOOKUP($A$2,'Circuit Data'!$A$2:$ED$15,4,)</f>
        <v>1176</v>
      </c>
      <c r="L5" s="3">
        <f>VLOOKUP($A$2,'Circuit Data'!$A$2:$ED$15,3,)</f>
        <v>1143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156</v>
      </c>
      <c r="H6" s="3">
        <f>VLOOKUP($A$2,'Circuit Data'!$A$2:$ED$15,13,)</f>
        <v>293</v>
      </c>
      <c r="I6" s="3">
        <f>VLOOKUP($A$2,'Circuit Data'!$A$2:$ED$15,12,)</f>
        <v>195</v>
      </c>
      <c r="J6" s="3">
        <f>VLOOKUP($A$2,'Circuit Data'!$A$2:$ED$15,11,)</f>
        <v>151</v>
      </c>
      <c r="K6" s="3">
        <f>VLOOKUP($A$2,'Circuit Data'!$A$2:$ED$15,10,)</f>
        <v>135</v>
      </c>
      <c r="L6" s="3">
        <f>VLOOKUP($A$2,'Circuit Data'!$A$2:$ED$15,9,)</f>
        <v>97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525</v>
      </c>
      <c r="H7" s="3">
        <f>VLOOKUP($A$2,'Circuit Data'!$A$2:$ED$15,19,)</f>
        <v>443</v>
      </c>
      <c r="I7" s="3">
        <f>VLOOKUP($A$2,'Circuit Data'!$A$2:$ED$15,18,)</f>
        <v>466</v>
      </c>
      <c r="J7" s="3">
        <f>VLOOKUP($A$2,'Circuit Data'!$A$2:$ED$15,17,)</f>
        <v>534</v>
      </c>
      <c r="K7" s="3">
        <f>VLOOKUP($A$2,'Circuit Data'!$A$2:$ED$15,16,)</f>
        <v>532</v>
      </c>
      <c r="L7" s="3">
        <f>VLOOKUP($A$2,'Circuit Data'!$A$2:$ED$15,15,)</f>
        <v>466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146</v>
      </c>
      <c r="H8" s="3">
        <f>VLOOKUP($A$2,'Circuit Data'!$A$2:$ED$15,25,)</f>
        <v>115</v>
      </c>
      <c r="I8" s="3">
        <f>VLOOKUP($A$2,'Circuit Data'!$A$2:$ED$15,24,)</f>
        <v>112</v>
      </c>
      <c r="J8" s="3">
        <f>VLOOKUP($A$2,'Circuit Data'!$A$2:$ED$15,23,)</f>
        <v>113</v>
      </c>
      <c r="K8" s="3">
        <f>VLOOKUP($A$2,'Circuit Data'!$A$2:$ED$15,22,)</f>
        <v>93</v>
      </c>
      <c r="L8" s="3">
        <f>VLOOKUP($A$2,'Circuit Data'!$A$2:$ED$15,21,)</f>
        <v>93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483</v>
      </c>
      <c r="H9" s="3">
        <f>VLOOKUP($A$2,'Circuit Data'!$A$2:$ED$15,31,)</f>
        <v>456</v>
      </c>
      <c r="I9" s="3">
        <f>VLOOKUP($A$2,'Circuit Data'!$A$2:$ED$15,30,)</f>
        <v>324</v>
      </c>
      <c r="J9" s="3">
        <f>VLOOKUP($A$2,'Circuit Data'!$A$2:$ED$15,29,)</f>
        <v>380</v>
      </c>
      <c r="K9" s="3">
        <f>VLOOKUP($A$2,'Circuit Data'!$A$2:$ED$15,28,)</f>
        <v>416</v>
      </c>
      <c r="L9" s="3">
        <f>VLOOKUP($A$2,'Circuit Data'!$A$2:$ED$15,27,)</f>
        <v>487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-2.8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-12.8</v>
      </c>
      <c r="H11" s="5">
        <f>VLOOKUP($A$2,'Circuit Data'!$A$2:$ED$15,37,)</f>
        <v>-12.6</v>
      </c>
      <c r="I11" s="5">
        <f>VLOOKUP($A$2,'Circuit Data'!$A$2:$ED$15,36,)</f>
        <v>4.2</v>
      </c>
      <c r="J11" s="5">
        <f>VLOOKUP($A$2,'Circuit Data'!$A$2:$ED$15,35,)</f>
        <v>-3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1309</v>
      </c>
      <c r="H12" s="9">
        <f>VLOOKUP($A$2,'Circuit Data'!$A$2:$ED$15,43,)</f>
        <v>1285</v>
      </c>
      <c r="I12" s="3">
        <f>VLOOKUP($A$2,'Circuit Data'!$A$2:$ED$15,42,)</f>
        <v>1361</v>
      </c>
      <c r="J12" s="3">
        <f>VLOOKUP($A$2,'Circuit Data'!$A$2:$ED$15,41,)</f>
        <v>1189</v>
      </c>
      <c r="K12" s="3">
        <f>VLOOKUP($A$2,'Circuit Data'!$A$2:$ED$15,40,)</f>
        <v>1271</v>
      </c>
      <c r="L12" s="3">
        <f>VLOOKUP($A$2,'Circuit Data'!$A$2:$ED$15,39,)</f>
        <v>1083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207</v>
      </c>
      <c r="H13" s="3">
        <f>VLOOKUP($A$2,'Circuit Data'!$A$2:$ED$15,49,)</f>
        <v>218</v>
      </c>
      <c r="I13" s="3">
        <f>VLOOKUP($A$2,'Circuit Data'!$A$2:$ED$15,48,)</f>
        <v>214</v>
      </c>
      <c r="J13" s="3">
        <f>VLOOKUP($A$2,'Circuit Data'!$A$2:$ED$15,47,)</f>
        <v>234</v>
      </c>
      <c r="K13" s="3">
        <f>VLOOKUP($A$2,'Circuit Data'!$A$2:$ED$15,46,)</f>
        <v>269</v>
      </c>
      <c r="L13" s="3">
        <f>VLOOKUP($A$2,'Circuit Data'!$A$2:$ED$15,45,)</f>
        <v>156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561</v>
      </c>
      <c r="H14" s="3">
        <f>VLOOKUP($A$2,'Circuit Data'!$A$2:$ED$15,55,)</f>
        <v>510</v>
      </c>
      <c r="I14" s="3">
        <f>VLOOKUP($A$2,'Circuit Data'!$A$2:$ED$15,54,)</f>
        <v>586</v>
      </c>
      <c r="J14" s="3">
        <f>VLOOKUP($A$2,'Circuit Data'!$A$2:$ED$15,53,)</f>
        <v>435</v>
      </c>
      <c r="K14" s="3">
        <f>VLOOKUP($A$2,'Circuit Data'!$A$2:$ED$15,52,)</f>
        <v>439</v>
      </c>
      <c r="L14" s="3">
        <f>VLOOKUP($A$2,'Circuit Data'!$A$2:$ED$15,51,)</f>
        <v>421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541</v>
      </c>
      <c r="H15" s="3">
        <f>VLOOKUP($A$2,'Circuit Data'!$A$2:$ED$15,61,)</f>
        <v>557</v>
      </c>
      <c r="I15" s="3">
        <f>VLOOKUP($A$2,'Circuit Data'!$A$2:$ED$15,60,)</f>
        <v>561</v>
      </c>
      <c r="J15" s="3">
        <f>VLOOKUP($A$2,'Circuit Data'!$A$2:$ED$15,59,)</f>
        <v>520</v>
      </c>
      <c r="K15" s="3">
        <f>VLOOKUP($A$2,'Circuit Data'!$A$2:$ED$15,58,)</f>
        <v>563</v>
      </c>
      <c r="L15" s="3">
        <f>VLOOKUP($A$2,'Circuit Data'!$A$2:$ED$15,57,)</f>
        <v>662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57</v>
      </c>
      <c r="H16" s="3">
        <f>VLOOKUP($A$2,'Circuit Data'!$A$2:$ED$15,67,)</f>
        <v>64</v>
      </c>
      <c r="I16" s="3">
        <f>VLOOKUP($A$2,'Circuit Data'!$A$2:$ED$15,66,)</f>
        <v>66</v>
      </c>
      <c r="J16" s="3">
        <f>VLOOKUP($A$2,'Circuit Data'!$A$2:$ED$15,65,)</f>
        <v>92</v>
      </c>
      <c r="K16" s="3">
        <f>VLOOKUP($A$2,'Circuit Data'!$A$2:$ED$15,64,)</f>
        <v>100</v>
      </c>
      <c r="L16" s="3">
        <f>VLOOKUP($A$2,'Circuit Data'!$A$2:$ED$15,63,)</f>
        <v>90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302</v>
      </c>
      <c r="H17" s="3">
        <f>VLOOKUP($A$2,'Circuit Data'!$A$2:$ED$15,73,)</f>
        <v>318</v>
      </c>
      <c r="I17" s="3">
        <f>VLOOKUP($A$2,'Circuit Data'!$A$2:$ED$15,72,)</f>
        <v>304</v>
      </c>
      <c r="J17" s="3">
        <f>VLOOKUP($A$2,'Circuit Data'!$A$2:$ED$15,71,)</f>
        <v>268</v>
      </c>
      <c r="K17" s="3">
        <f>VLOOKUP($A$2,'Circuit Data'!$A$2:$ED$15,70,)</f>
        <v>296</v>
      </c>
      <c r="L17" s="3">
        <f>VLOOKUP($A$2,'Circuit Data'!$A$2:$ED$15,69,)</f>
        <v>339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79</v>
      </c>
      <c r="H18" s="3">
        <f>VLOOKUP($A$2,'Circuit Data'!$A$2:$ED$15,79,)</f>
        <v>67</v>
      </c>
      <c r="I18" s="3">
        <f>VLOOKUP($A$2,'Circuit Data'!$A$2:$ED$15,78,)</f>
        <v>47</v>
      </c>
      <c r="J18" s="3">
        <f>VLOOKUP($A$2,'Circuit Data'!$A$2:$ED$15,77,)</f>
        <v>65</v>
      </c>
      <c r="K18" s="3">
        <f>VLOOKUP($A$2,'Circuit Data'!$A$2:$ED$15,76,)</f>
        <v>56</v>
      </c>
      <c r="L18" s="3">
        <f>VLOOKUP($A$2,'Circuit Data'!$A$2:$ED$15,75,)</f>
        <v>68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103</v>
      </c>
      <c r="H19" s="3">
        <f>VLOOKUP($A$2,'Circuit Data'!$A$2:$ED$15,85,)</f>
        <v>108</v>
      </c>
      <c r="I19" s="3">
        <f>VLOOKUP($A$2,'Circuit Data'!$A$2:$ED$15,84,)</f>
        <v>144</v>
      </c>
      <c r="J19" s="3">
        <f>VLOOKUP($A$2,'Circuit Data'!$A$2:$ED$15,83,)</f>
        <v>95</v>
      </c>
      <c r="K19" s="3">
        <f>VLOOKUP($A$2,'Circuit Data'!$A$2:$ED$15,82,)</f>
        <v>111</v>
      </c>
      <c r="L19" s="3">
        <f>VLOOKUP($A$2,'Circuit Data'!$A$2:$ED$15,81,)</f>
        <v>165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91.6</v>
      </c>
      <c r="H20" s="5">
        <f>VLOOKUP($A$2,'Circuit Data'!$A$2:$ED$15,91,)</f>
        <v>90.6</v>
      </c>
      <c r="I20" s="5">
        <f>VLOOKUP($A$2,'Circuit Data'!$A$2:$ED$15,90,)</f>
        <v>89.5</v>
      </c>
      <c r="J20" s="5">
        <f>VLOOKUP($A$2,'Circuit Data'!$A$2:$ED$15,89,)</f>
        <v>90.9</v>
      </c>
      <c r="K20" s="5">
        <f>VLOOKUP($A$2,'Circuit Data'!$A$2:$ED$15,88,)</f>
        <v>91.5</v>
      </c>
      <c r="L20" s="5">
        <f>VLOOKUP($A$2,'Circuit Data'!$A$2:$ED$15,87,)</f>
        <v>67.5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1550</v>
      </c>
      <c r="H21" s="3">
        <f>VLOOKUP($A$2,'Circuit Data'!$A$2:$ED$15,97,)</f>
        <v>1572</v>
      </c>
      <c r="I21" s="3">
        <f>VLOOKUP($A$2,'Circuit Data'!$A$2:$ED$15,96,)</f>
        <v>1305</v>
      </c>
      <c r="J21" s="3">
        <f>VLOOKUP($A$2,'Circuit Data'!$A$2:$ED$15,95,)</f>
        <v>1293</v>
      </c>
      <c r="K21" s="3">
        <f>VLOOKUP($A$2,'Circuit Data'!$A$2:$ED$15,94,)</f>
        <v>1287</v>
      </c>
      <c r="L21" s="3">
        <f>VLOOKUP($A$2,'Circuit Data'!$A$2:$ED$15,93,)</f>
        <v>1347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148</v>
      </c>
      <c r="H22" s="3">
        <f>VLOOKUP($A$2,'Circuit Data'!$A$2:$ED$15,103,)</f>
        <v>152</v>
      </c>
      <c r="I22" s="3">
        <f>VLOOKUP($A$2,'Circuit Data'!$A$2:$ED$15,102,)</f>
        <v>161</v>
      </c>
      <c r="J22" s="3">
        <f>VLOOKUP($A$2,'Circuit Data'!$A$2:$ED$15,101,)</f>
        <v>159</v>
      </c>
      <c r="K22" s="3">
        <f>VLOOKUP($A$2,'Circuit Data'!$A$2:$ED$15,100,)</f>
        <v>173</v>
      </c>
      <c r="L22" s="3">
        <f>VLOOKUP($A$2,'Circuit Data'!$A$2:$ED$15,99,)</f>
        <v>203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48</v>
      </c>
      <c r="H23" s="3">
        <f>VLOOKUP($A$2,'Circuit Data'!$A$2:$ED$15,109,)</f>
        <v>46</v>
      </c>
      <c r="I23" s="3">
        <f>VLOOKUP($A$2,'Circuit Data'!$A$2:$ED$15,108,)</f>
        <v>90</v>
      </c>
      <c r="J23" s="3">
        <f>VLOOKUP($A$2,'Circuit Data'!$A$2:$ED$15,107,)</f>
        <v>25</v>
      </c>
      <c r="K23" s="3">
        <f>VLOOKUP($A$2,'Circuit Data'!$A$2:$ED$15,106,)</f>
        <v>28</v>
      </c>
      <c r="L23" s="3">
        <f>VLOOKUP($A$2,'Circuit Data'!$A$2:$ED$15,105,)</f>
        <v>29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49</v>
      </c>
      <c r="H24" s="3">
        <f>VLOOKUP($A$2,'Circuit Data'!$A$2:$ED$15,115,)</f>
        <v>51</v>
      </c>
      <c r="I24" s="3">
        <f>VLOOKUP($A$2,'Circuit Data'!$A$2:$ED$15,114,)</f>
        <v>56</v>
      </c>
      <c r="J24" s="3">
        <f>VLOOKUP($A$2,'Circuit Data'!$A$2:$ED$15,113,)</f>
        <v>53</v>
      </c>
      <c r="K24" s="3">
        <f>VLOOKUP($A$2,'Circuit Data'!$A$2:$ED$15,112,)</f>
        <v>57</v>
      </c>
      <c r="L24" s="3">
        <f>VLOOKUP($A$2,'Circuit Data'!$A$2:$ED$15,111,)</f>
        <v>50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19</v>
      </c>
      <c r="H25" s="3">
        <f>VLOOKUP($A$2,'Circuit Data'!$A$2:$ED$15,121,)</f>
        <v>19</v>
      </c>
      <c r="I25" s="3">
        <f>VLOOKUP($A$2,'Circuit Data'!$A$2:$ED$15,120,)</f>
        <v>21</v>
      </c>
      <c r="J25" s="3">
        <f>VLOOKUP($A$2,'Circuit Data'!$A$2:$ED$15,119,)</f>
        <v>17</v>
      </c>
      <c r="K25" s="3">
        <f>VLOOKUP($A$2,'Circuit Data'!$A$2:$ED$15,118,)</f>
        <v>16</v>
      </c>
      <c r="L25" s="3">
        <f>VLOOKUP($A$2,'Circuit Data'!$A$2:$ED$15,117,)</f>
        <v>20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30</v>
      </c>
      <c r="H26" s="3">
        <f>VLOOKUP($A$2,'Circuit Data'!$A$2:$ED$15,127,)</f>
        <v>32</v>
      </c>
      <c r="I26" s="3">
        <f>VLOOKUP($A$2,'Circuit Data'!$A$2:$ED$15,126,)</f>
        <v>35</v>
      </c>
      <c r="J26" s="3">
        <f>VLOOKUP($A$2,'Circuit Data'!$A$2:$ED$15,125,)</f>
        <v>36</v>
      </c>
      <c r="K26" s="3">
        <f>VLOOKUP($A$2,'Circuit Data'!$A$2:$ED$15,124,)</f>
        <v>41</v>
      </c>
      <c r="L26" s="3">
        <f>VLOOKUP($A$2,'Circuit Data'!$A$2:$ED$15,123,)</f>
        <v>30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 t="str">
        <f>VLOOKUP($A$2,'Circuit Data'!$A$2:$ED$15,134,)</f>
        <v>-</v>
      </c>
      <c r="H27" s="3" t="str">
        <f>VLOOKUP($A$2,'Circuit Data'!$A$2:$ED$15,133,)</f>
        <v>-</v>
      </c>
      <c r="I27" s="3" t="str">
        <f>VLOOKUP($A$2,'Circuit Data'!$A$2:$ED$15,132,)</f>
        <v>-</v>
      </c>
      <c r="J27" s="3" t="str">
        <f>VLOOKUP($A$2,'Circuit Data'!$A$2:$ED$15,131,)</f>
        <v>-</v>
      </c>
      <c r="K27" s="3" t="str">
        <f>VLOOKUP($A$2,'Circuit Data'!$A$2:$ED$15,130,)</f>
        <v>-</v>
      </c>
      <c r="L27" s="3" t="str">
        <f>VLOOKUP($A$2,'Circuit Data'!$A$2:$ED$15,129,)</f>
        <v>-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DISTRICT OF COLUMBIA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12/4.0</v>
      </c>
      <c r="H34" s="3" t="str">
        <f>VLOOKUP($A$2,'Circuit Data2'!$A$2:$EP$15,12,)&amp;"/"&amp;TEXT(VLOOKUP($A$2,'Circuit Data2'!$A$2:$EP$15,13,),"0.0")</f>
        <v>11/3.7</v>
      </c>
      <c r="I34" s="3" t="str">
        <f>VLOOKUP($A$2,'Circuit Data2'!$A$2:$EP$15,10,)&amp;"/"&amp;TEXT(VLOOKUP($A$2,'Circuit Data2'!$A$2:$EP$15,11,),"0.0")</f>
        <v>11/3.7</v>
      </c>
      <c r="J34" s="3" t="str">
        <f>VLOOKUP($A$2,'Circuit Data2'!$A$2:$EP$15,8,)&amp;"/"&amp;TEXT(VLOOKUP($A$2,'Circuit Data2'!$A$2:$EP$15,9,),"0.0")</f>
        <v>11/3.7</v>
      </c>
      <c r="K34" s="3" t="str">
        <f>VLOOKUP($A$2,'Circuit Data2'!$A$2:$EP$15,6,)&amp;"/"&amp;TEXT(VLOOKUP($A$2,'Circuit Data2'!$A$2:$EP$15,7,),"0.0")</f>
        <v>11/3.7</v>
      </c>
      <c r="L34" s="3" t="str">
        <f>VLOOKUP($A$2,'Circuit Data2'!$A$2:$EP$15,4,)&amp;"/"&amp;TEXT(VLOOKUP($A$2,'Circuit Data2'!$A$2:$EP$15,5,),"0.0")</f>
        <v>11/3.7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3</v>
      </c>
      <c r="H35" s="3">
        <f>VLOOKUP($A$2,'Circuit Data2'!$A$2:$EP$15,20,)</f>
        <v>3</v>
      </c>
      <c r="I35" s="3">
        <f>VLOOKUP($A$2,'Circuit Data2'!$A$2:$EP$15,19,)</f>
        <v>4</v>
      </c>
      <c r="J35" s="3">
        <f>VLOOKUP($A$2,'Circuit Data2'!$A$2:$EP$15,18,)</f>
        <v>4</v>
      </c>
      <c r="K35" s="3">
        <f>VLOOKUP($A$2,'Circuit Data2'!$A$2:$EP$15,17,)</f>
        <v>4</v>
      </c>
      <c r="L35" s="3">
        <f>VLOOKUP($A$2,'Circuit Data2'!$A$2:$EP$15,16,)</f>
        <v>5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24</v>
      </c>
      <c r="H36" s="17">
        <f>VLOOKUP($A$2,'Circuit Data2'!$A$2:$EP$15,26,)</f>
        <v>15.2</v>
      </c>
      <c r="I36" s="17">
        <f>VLOOKUP($A$2,'Circuit Data2'!$A$2:$EP$15,25,)</f>
        <v>22.9</v>
      </c>
      <c r="J36" s="17">
        <f>VLOOKUP($A$2,'Circuit Data2'!$A$2:$EP$15,24,)</f>
        <v>24</v>
      </c>
      <c r="K36" s="17">
        <f>VLOOKUP($A$2,'Circuit Data2'!$A$2:$EP$15,23,)</f>
        <v>24</v>
      </c>
      <c r="L36" s="17">
        <f>VLOOKUP($A$2,'Circuit Data2'!$A$2:$EP$15,22,)</f>
        <v>26.6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328</v>
      </c>
      <c r="H37" s="3">
        <f>VLOOKUP($A$2,'Circuit Data2'!$A$2:$EP$15,32,)</f>
        <v>356</v>
      </c>
      <c r="I37" s="3">
        <f>VLOOKUP($A$2,'Circuit Data2'!$A$2:$EP$15,31,)</f>
        <v>299</v>
      </c>
      <c r="J37" s="3">
        <f>VLOOKUP($A$2,'Circuit Data2'!$A$2:$EP$15,30,)</f>
        <v>321</v>
      </c>
      <c r="K37" s="3">
        <f>VLOOKUP($A$2,'Circuit Data2'!$A$2:$EP$15,29,)</f>
        <v>321</v>
      </c>
      <c r="L37" s="3">
        <f>VLOOKUP($A$2,'Circuit Data2'!$A$2:$EP$15,28,)</f>
        <v>312</v>
      </c>
      <c r="M37" s="16">
        <f>VLOOKUP($A$2,'Circuit Data2'!$A$2:$EP$15,34,)</f>
        <v>12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39</v>
      </c>
      <c r="H38" s="3">
        <f>VLOOKUP($A$2,'Circuit Data2'!$A$2:$EP$15,39,)</f>
        <v>80</v>
      </c>
      <c r="I38" s="3">
        <f>VLOOKUP($A$2,'Circuit Data2'!$A$2:$EP$15,38,)</f>
        <v>53</v>
      </c>
      <c r="J38" s="3">
        <f>VLOOKUP($A$2,'Circuit Data2'!$A$2:$EP$15,37,)</f>
        <v>41</v>
      </c>
      <c r="K38" s="3">
        <f>VLOOKUP($A$2,'Circuit Data2'!$A$2:$EP$15,36,)</f>
        <v>37</v>
      </c>
      <c r="L38" s="3">
        <f>VLOOKUP($A$2,'Circuit Data2'!$A$2:$EP$15,35,)</f>
        <v>26</v>
      </c>
      <c r="M38" s="11">
        <f>VLOOKUP($A$2,'Circuit Data2'!$A$2:$EP$15,41,)</f>
        <v>12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131</v>
      </c>
      <c r="H39" s="3">
        <f>VLOOKUP($A$2,'Circuit Data2'!$A$2:$EP$15,46,)</f>
        <v>121</v>
      </c>
      <c r="I39" s="3">
        <f>VLOOKUP($A$2,'Circuit Data2'!$A$2:$EP$15,45,)</f>
        <v>127</v>
      </c>
      <c r="J39" s="3">
        <f>VLOOKUP($A$2,'Circuit Data2'!$A$2:$EP$15,44,)</f>
        <v>145</v>
      </c>
      <c r="K39" s="3">
        <f>VLOOKUP($A$2,'Circuit Data2'!$A$2:$EP$15,43,)</f>
        <v>146</v>
      </c>
      <c r="L39" s="3">
        <f>VLOOKUP($A$2,'Circuit Data2'!$A$2:$EP$15,42,)</f>
        <v>128</v>
      </c>
      <c r="M39" s="12">
        <f>VLOOKUP($A$2,'Circuit Data2'!$A$2:$EP$15,48,)</f>
        <v>12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37</v>
      </c>
      <c r="H40" s="3">
        <f>VLOOKUP($A$2,'Circuit Data2'!$A$2:$EP$15,53,)</f>
        <v>31</v>
      </c>
      <c r="I40" s="3">
        <f>VLOOKUP($A$2,'Circuit Data2'!$A$2:$EP$15,52,)</f>
        <v>31</v>
      </c>
      <c r="J40" s="3">
        <f>VLOOKUP($A$2,'Circuit Data2'!$A$2:$EP$15,51,)</f>
        <v>31</v>
      </c>
      <c r="K40" s="14">
        <f>VLOOKUP($A$2,'Circuit Data2'!$A$2:$EP$15,50,)</f>
        <v>25</v>
      </c>
      <c r="L40" s="3">
        <f>VLOOKUP($A$2,'Circuit Data2'!$A$2:$EP$15,49,)</f>
        <v>25</v>
      </c>
      <c r="M40" s="12">
        <f>VLOOKUP($A$2,'Circuit Data2'!$A$2:$EP$15,55,)</f>
        <v>12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121</v>
      </c>
      <c r="H41" s="3">
        <f>VLOOKUP($A$2,'Circuit Data2'!$A$2:$EP$15,60,)</f>
        <v>124</v>
      </c>
      <c r="I41" s="3">
        <f>VLOOKUP($A$2,'Circuit Data2'!$A$2:$EP$15,59,)</f>
        <v>88</v>
      </c>
      <c r="J41" s="3">
        <f>VLOOKUP($A$2,'Circuit Data2'!$A$2:$EP$15,58,)</f>
        <v>104</v>
      </c>
      <c r="K41" s="3">
        <f>VLOOKUP($A$2,'Circuit Data2'!$A$2:$EP$15,57,)</f>
        <v>113</v>
      </c>
      <c r="L41" s="3">
        <f>VLOOKUP($A$2,'Circuit Data2'!$A$2:$EP$15,56,)</f>
        <v>133</v>
      </c>
      <c r="M41" s="12">
        <f>VLOOKUP($A$2,'Circuit Data2'!$A$2:$EP$15,62,)</f>
        <v>3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327</v>
      </c>
      <c r="H42" s="3">
        <f>VLOOKUP($A$2,'Circuit Data2'!$A$2:$EP$15,67,)</f>
        <v>350</v>
      </c>
      <c r="I42" s="3">
        <f>VLOOKUP($A$2,'Circuit Data2'!$A$2:$EP$15,66,)</f>
        <v>371</v>
      </c>
      <c r="J42" s="3">
        <f>VLOOKUP($A$2,'Circuit Data2'!$A$2:$EP$15,65,)</f>
        <v>324</v>
      </c>
      <c r="K42" s="3">
        <f>VLOOKUP($A$2,'Circuit Data2'!$A$2:$EP$15,64,)</f>
        <v>347</v>
      </c>
      <c r="L42" s="3">
        <f>VLOOKUP($A$2,'Circuit Data2'!$A$2:$EP$15,63,)</f>
        <v>295</v>
      </c>
      <c r="M42" s="13">
        <f>VLOOKUP($A$2,'Circuit Data2'!$A$2:$EP$15,69,)</f>
        <v>12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52</v>
      </c>
      <c r="H43" s="15">
        <f>VLOOKUP($A$2,'Circuit Data2'!$A$2:$EP$15,74,)</f>
        <v>59</v>
      </c>
      <c r="I43" s="3">
        <f>VLOOKUP($A$2,'Circuit Data2'!$A$2:$EP$15,73,)</f>
        <v>58</v>
      </c>
      <c r="J43" s="3">
        <f>VLOOKUP($A$2,'Circuit Data2'!$A$2:$EP$15,72,)</f>
        <v>63</v>
      </c>
      <c r="K43" s="3">
        <f>VLOOKUP($A$2,'Circuit Data2'!$A$2:$EP$15,71,)</f>
        <v>73</v>
      </c>
      <c r="L43" s="3">
        <f>VLOOKUP($A$2,'Circuit Data2'!$A$2:$EP$15,70,)</f>
        <v>43</v>
      </c>
      <c r="M43" s="13">
        <f>VLOOKUP($A$2,'Circuit Data2'!$A$2:$EP$15,76,)</f>
        <v>5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140</v>
      </c>
      <c r="H44" s="3">
        <f>VLOOKUP($A$2,'Circuit Data2'!$A$2:$EP$15,81,)</f>
        <v>139</v>
      </c>
      <c r="I44" s="3">
        <f>VLOOKUP($A$2,'Circuit Data2'!$A$2:$EP$15,80,)</f>
        <v>160</v>
      </c>
      <c r="J44" s="3">
        <f>VLOOKUP($A$2,'Circuit Data2'!$A$2:$EP$15,79,)</f>
        <v>119</v>
      </c>
      <c r="K44" s="3">
        <f>VLOOKUP($A$2,'Circuit Data2'!$A$2:$EP$15,78,)</f>
        <v>120</v>
      </c>
      <c r="L44" s="3">
        <f>VLOOKUP($A$2,'Circuit Data2'!$A$2:$EP$15,77,)</f>
        <v>115</v>
      </c>
      <c r="M44" s="13">
        <f>VLOOKUP($A$2,'Circuit Data2'!$A$2:$EP$15,83,)</f>
        <v>12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135</v>
      </c>
      <c r="H45" s="3">
        <f>VLOOKUP($A$2,'Circuit Data2'!$A$2:$EP$15,88,)</f>
        <v>152</v>
      </c>
      <c r="I45" s="3">
        <f>VLOOKUP($A$2,'Circuit Data2'!$A$2:$EP$15,87,)</f>
        <v>153</v>
      </c>
      <c r="J45" s="3">
        <f>VLOOKUP($A$2,'Circuit Data2'!$A$2:$EP$15,86,)</f>
        <v>142</v>
      </c>
      <c r="K45" s="3">
        <f>VLOOKUP($A$2,'Circuit Data2'!$A$2:$EP$15,85,)</f>
        <v>154</v>
      </c>
      <c r="L45" s="3">
        <f>VLOOKUP($A$2,'Circuit Data2'!$A$2:$EP$15,84,)</f>
        <v>181</v>
      </c>
      <c r="M45" s="13">
        <f>VLOOKUP($A$2,'Circuit Data2'!$A$2:$EP$15,90,)</f>
        <v>12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14</v>
      </c>
      <c r="H46" s="3">
        <f>VLOOKUP($A$2,'Circuit Data2'!$A$2:$EP$15,95,)</f>
        <v>17</v>
      </c>
      <c r="I46" s="3">
        <f>VLOOKUP($A$2,'Circuit Data2'!$A$2:$EP$15,94,)</f>
        <v>18</v>
      </c>
      <c r="J46" s="3">
        <f>VLOOKUP($A$2,'Circuit Data2'!$A$2:$EP$15,93,)</f>
        <v>25</v>
      </c>
      <c r="K46" s="3">
        <f>VLOOKUP($A$2,'Circuit Data2'!$A$2:$EP$15,92,)</f>
        <v>27</v>
      </c>
      <c r="L46" s="3">
        <f>VLOOKUP($A$2,'Circuit Data2'!$A$2:$EP$15,91,)</f>
        <v>25</v>
      </c>
      <c r="M46" s="11">
        <f>VLOOKUP($A$2,'Circuit Data2'!$A$2:$EP$15,97,)</f>
        <v>12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75</v>
      </c>
      <c r="H47" s="3">
        <f>VLOOKUP($A$2,'Circuit Data2'!$A$2:$EP$15,102,)</f>
        <v>88</v>
      </c>
      <c r="I47" s="3">
        <f>VLOOKUP($A$2,'Circuit Data2'!$A$2:$EP$15,101,)</f>
        <v>83</v>
      </c>
      <c r="J47" s="3">
        <f>VLOOKUP($A$2,'Circuit Data2'!$A$2:$EP$15,100,)</f>
        <v>73</v>
      </c>
      <c r="K47" s="3">
        <f>VLOOKUP($A$2,'Circuit Data2'!$A$2:$EP$15,99,)</f>
        <v>82</v>
      </c>
      <c r="L47" s="15">
        <f>VLOOKUP($A$2,'Circuit Data2'!$A$2:$EP$15,98,)</f>
        <v>92</v>
      </c>
      <c r="M47" s="13">
        <f>VLOOKUP($A$2,'Circuit Data2'!$A$2:$EP$15,104,)</f>
        <v>12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20</v>
      </c>
      <c r="H48" s="3">
        <f>VLOOKUP($A$2,'Circuit Data2'!$A$2:$EP$15,109,)</f>
        <v>18</v>
      </c>
      <c r="I48" s="3">
        <f>VLOOKUP($A$2,'Circuit Data2'!$A$2:$EP$15,108,)</f>
        <v>13</v>
      </c>
      <c r="J48" s="3">
        <f>VLOOKUP($A$2,'Circuit Data2'!$A$2:$EP$15,107,)</f>
        <v>18</v>
      </c>
      <c r="K48" s="3">
        <f>VLOOKUP($A$2,'Circuit Data2'!$A$2:$EP$15,106,)</f>
        <v>15</v>
      </c>
      <c r="L48" s="3">
        <f>VLOOKUP($A$2,'Circuit Data2'!$A$2:$EP$15,105,)</f>
        <v>19</v>
      </c>
      <c r="M48" s="13">
        <f>VLOOKUP($A$2,'Circuit Data2'!$A$2:$EP$15,111,)</f>
        <v>12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26</v>
      </c>
      <c r="H49" s="3">
        <f>VLOOKUP($A$2,'Circuit Data2'!$A$2:$EP$15,116,)</f>
        <v>29</v>
      </c>
      <c r="I49" s="3">
        <f>VLOOKUP($A$2,'Circuit Data2'!$A$2:$EP$15,115,)</f>
        <v>39</v>
      </c>
      <c r="J49" s="3">
        <f>VLOOKUP($A$2,'Circuit Data2'!$A$2:$EP$15,114,)</f>
        <v>26</v>
      </c>
      <c r="K49" s="3">
        <f>VLOOKUP($A$2,'Circuit Data2'!$A$2:$EP$15,113,)</f>
        <v>30</v>
      </c>
      <c r="L49" s="3">
        <f>VLOOKUP($A$2,'Circuit Data2'!$A$2:$EP$15,112,)</f>
        <v>45</v>
      </c>
      <c r="M49" s="13">
        <f>VLOOKUP($A$2,'Circuit Data2'!$A$2:$EP$15,118,)</f>
        <v>6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388</v>
      </c>
      <c r="H50" s="3">
        <f>VLOOKUP($A$2,'Circuit Data2'!$A$2:$EP$15,123,)</f>
        <v>429</v>
      </c>
      <c r="I50" s="3">
        <f>VLOOKUP($A$2,'Circuit Data2'!$A$2:$EP$15,122,)</f>
        <v>356</v>
      </c>
      <c r="J50" s="3">
        <f>VLOOKUP($A$2,'Circuit Data2'!$A$2:$EP$15,121,)</f>
        <v>353</v>
      </c>
      <c r="K50" s="3">
        <f>VLOOKUP($A$2,'Circuit Data2'!$A$2:$EP$15,120,)</f>
        <v>351</v>
      </c>
      <c r="L50" s="3">
        <f>VLOOKUP($A$2,'Circuit Data2'!$A$2:$EP$15,119,)</f>
        <v>367</v>
      </c>
      <c r="M50" s="13">
        <f>VLOOKUP($A$2,'Circuit Data2'!$A$2:$EP$15,125,)</f>
        <v>11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12.1</v>
      </c>
      <c r="H51" s="10">
        <f>VLOOKUP($A$2,'Circuit Data2'!$A$2:$EP$15,130,)</f>
        <v>12.2</v>
      </c>
      <c r="I51" s="5">
        <f>VLOOKUP($A$2,'Circuit Data2'!$A$2:$EP$15,129,)</f>
        <v>11.7</v>
      </c>
      <c r="J51" s="5">
        <f>VLOOKUP($A$2,'Circuit Data2'!$A$2:$EP$15,128,)</f>
        <v>11.4</v>
      </c>
      <c r="K51" s="5">
        <f>VLOOKUP($A$2,'Circuit Data2'!$A$2:$EP$15,127,)</f>
        <v>10.7</v>
      </c>
      <c r="L51" s="5">
        <f>VLOOKUP($A$2,'Circuit Data2'!$A$2:$EP$15,126,)</f>
        <v>10.8</v>
      </c>
      <c r="M51" s="12">
        <f>VLOOKUP($A$2,'Circuit Data2'!$A$2:$EP$15,132,)</f>
        <v>8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1</v>
      </c>
      <c r="H52" s="3">
        <f>VLOOKUP($A$2,'Circuit Data2'!$A$2:$EP$15,137,)</f>
        <v>1</v>
      </c>
      <c r="I52" s="3">
        <f>VLOOKUP($A$2,'Circuit Data2'!$A$2:$EP$15,136,)</f>
        <v>1</v>
      </c>
      <c r="J52" s="3" t="str">
        <f>VLOOKUP($A$2,'Circuit Data2'!$A$2:$EP$15,135,)</f>
        <v>-</v>
      </c>
      <c r="K52" s="3" t="str">
        <f>VLOOKUP($A$2,'Circuit Data2'!$A$2:$EP$15,134,)</f>
        <v>-</v>
      </c>
      <c r="L52" s="3" t="str">
        <f>VLOOKUP($A$2,'Circuit Data2'!$A$2:$EP$15,133,)</f>
        <v>-</v>
      </c>
      <c r="M52" s="11">
        <f>VLOOKUP($A$2,'Circuit Data2'!$A$2:$EP$15,139,)</f>
        <v>12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27</v>
      </c>
      <c r="H53" s="3">
        <f>VLOOKUP($A$2,'Circuit Data2'!$A$2:$EP$15,144,)</f>
        <v>28</v>
      </c>
      <c r="I53" s="3">
        <f>VLOOKUP($A$2,'Circuit Data2'!$A$2:$EP$15,143,)</f>
        <v>30</v>
      </c>
      <c r="J53" s="3">
        <f>VLOOKUP($A$2,'Circuit Data2'!$A$2:$EP$15,142,)</f>
        <v>21</v>
      </c>
      <c r="K53" s="3">
        <f>VLOOKUP($A$2,'Circuit Data2'!$A$2:$EP$15,141,)</f>
        <v>23</v>
      </c>
      <c r="L53" s="3">
        <f>VLOOKUP($A$2,'Circuit Data2'!$A$2:$EP$15,140,)</f>
        <v>28</v>
      </c>
      <c r="M53" s="11">
        <f>VLOOKUP($A$2,'Circuit Data2'!$A$2:$EP$15,146,)</f>
        <v>11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231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1863</v>
      </c>
      <c r="H5" s="3">
        <f>VLOOKUP($A$2,'Circuit Data'!$A$2:$ED$15,7,)</f>
        <v>1631</v>
      </c>
      <c r="I5" s="3">
        <f>VLOOKUP($A$2,'Circuit Data'!$A$2:$ED$15,6,)</f>
        <v>1746</v>
      </c>
      <c r="J5" s="3">
        <f>VLOOKUP($A$2,'Circuit Data'!$A$2:$ED$15,5,)</f>
        <v>1530</v>
      </c>
      <c r="K5" s="3">
        <f>VLOOKUP($A$2,'Circuit Data'!$A$2:$ED$15,4,)</f>
        <v>1530</v>
      </c>
      <c r="L5" s="3">
        <f>VLOOKUP($A$2,'Circuit Data'!$A$2:$ED$15,3,)</f>
        <v>1534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249</v>
      </c>
      <c r="H6" s="3">
        <f>VLOOKUP($A$2,'Circuit Data'!$A$2:$ED$15,13,)</f>
        <v>273</v>
      </c>
      <c r="I6" s="3">
        <f>VLOOKUP($A$2,'Circuit Data'!$A$2:$ED$15,12,)</f>
        <v>290</v>
      </c>
      <c r="J6" s="3">
        <f>VLOOKUP($A$2,'Circuit Data'!$A$2:$ED$15,11,)</f>
        <v>249</v>
      </c>
      <c r="K6" s="3">
        <f>VLOOKUP($A$2,'Circuit Data'!$A$2:$ED$15,10,)</f>
        <v>225</v>
      </c>
      <c r="L6" s="3">
        <f>VLOOKUP($A$2,'Circuit Data'!$A$2:$ED$15,9,)</f>
        <v>211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646</v>
      </c>
      <c r="H7" s="3">
        <f>VLOOKUP($A$2,'Circuit Data'!$A$2:$ED$15,19,)</f>
        <v>622</v>
      </c>
      <c r="I7" s="3">
        <f>VLOOKUP($A$2,'Circuit Data'!$A$2:$ED$15,18,)</f>
        <v>712</v>
      </c>
      <c r="J7" s="3">
        <f>VLOOKUP($A$2,'Circuit Data'!$A$2:$ED$15,17,)</f>
        <v>608</v>
      </c>
      <c r="K7" s="3">
        <f>VLOOKUP($A$2,'Circuit Data'!$A$2:$ED$15,16,)</f>
        <v>607</v>
      </c>
      <c r="L7" s="3">
        <f>VLOOKUP($A$2,'Circuit Data'!$A$2:$ED$15,15,)</f>
        <v>652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729</v>
      </c>
      <c r="H8" s="3">
        <f>VLOOKUP($A$2,'Circuit Data'!$A$2:$ED$15,25,)</f>
        <v>545</v>
      </c>
      <c r="I8" s="3">
        <f>VLOOKUP($A$2,'Circuit Data'!$A$2:$ED$15,24,)</f>
        <v>554</v>
      </c>
      <c r="J8" s="3">
        <f>VLOOKUP($A$2,'Circuit Data'!$A$2:$ED$15,23,)</f>
        <v>515</v>
      </c>
      <c r="K8" s="3">
        <f>VLOOKUP($A$2,'Circuit Data'!$A$2:$ED$15,22,)</f>
        <v>525</v>
      </c>
      <c r="L8" s="3">
        <f>VLOOKUP($A$2,'Circuit Data'!$A$2:$ED$15,21,)</f>
        <v>480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239</v>
      </c>
      <c r="H9" s="3">
        <f>VLOOKUP($A$2,'Circuit Data'!$A$2:$ED$15,31,)</f>
        <v>191</v>
      </c>
      <c r="I9" s="3">
        <f>VLOOKUP($A$2,'Circuit Data'!$A$2:$ED$15,30,)</f>
        <v>190</v>
      </c>
      <c r="J9" s="3">
        <f>VLOOKUP($A$2,'Circuit Data'!$A$2:$ED$15,29,)</f>
        <v>158</v>
      </c>
      <c r="K9" s="3">
        <f>VLOOKUP($A$2,'Circuit Data'!$A$2:$ED$15,28,)</f>
        <v>173</v>
      </c>
      <c r="L9" s="3">
        <f>VLOOKUP($A$2,'Circuit Data'!$A$2:$ED$15,27,)</f>
        <v>191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0.3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-17.7</v>
      </c>
      <c r="H11" s="5">
        <f>VLOOKUP($A$2,'Circuit Data'!$A$2:$ED$15,37,)</f>
        <v>-6</v>
      </c>
      <c r="I11" s="5">
        <f>VLOOKUP($A$2,'Circuit Data'!$A$2:$ED$15,36,)</f>
        <v>-12.2</v>
      </c>
      <c r="J11" s="5">
        <f>VLOOKUP($A$2,'Circuit Data'!$A$2:$ED$15,35,)</f>
        <v>0.3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1752</v>
      </c>
      <c r="H12" s="9">
        <f>VLOOKUP($A$2,'Circuit Data'!$A$2:$ED$15,43,)</f>
        <v>1776</v>
      </c>
      <c r="I12" s="3">
        <f>VLOOKUP($A$2,'Circuit Data'!$A$2:$ED$15,42,)</f>
        <v>1750</v>
      </c>
      <c r="J12" s="3">
        <f>VLOOKUP($A$2,'Circuit Data'!$A$2:$ED$15,41,)</f>
        <v>1706</v>
      </c>
      <c r="K12" s="3">
        <f>VLOOKUP($A$2,'Circuit Data'!$A$2:$ED$15,40,)</f>
        <v>1600</v>
      </c>
      <c r="L12" s="3">
        <f>VLOOKUP($A$2,'Circuit Data'!$A$2:$ED$15,39,)</f>
        <v>1494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105</v>
      </c>
      <c r="H13" s="3">
        <f>VLOOKUP($A$2,'Circuit Data'!$A$2:$ED$15,49,)</f>
        <v>51</v>
      </c>
      <c r="I13" s="3">
        <f>VLOOKUP($A$2,'Circuit Data'!$A$2:$ED$15,48,)</f>
        <v>66</v>
      </c>
      <c r="J13" s="3">
        <f>VLOOKUP($A$2,'Circuit Data'!$A$2:$ED$15,47,)</f>
        <v>94</v>
      </c>
      <c r="K13" s="3">
        <f>VLOOKUP($A$2,'Circuit Data'!$A$2:$ED$15,46,)</f>
        <v>77</v>
      </c>
      <c r="L13" s="3">
        <f>VLOOKUP($A$2,'Circuit Data'!$A$2:$ED$15,45,)</f>
        <v>75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657</v>
      </c>
      <c r="H14" s="3">
        <f>VLOOKUP($A$2,'Circuit Data'!$A$2:$ED$15,55,)</f>
        <v>705</v>
      </c>
      <c r="I14" s="3">
        <f>VLOOKUP($A$2,'Circuit Data'!$A$2:$ED$15,54,)</f>
        <v>635</v>
      </c>
      <c r="J14" s="3">
        <f>VLOOKUP($A$2,'Circuit Data'!$A$2:$ED$15,53,)</f>
        <v>647</v>
      </c>
      <c r="K14" s="3">
        <f>VLOOKUP($A$2,'Circuit Data'!$A$2:$ED$15,52,)</f>
        <v>599</v>
      </c>
      <c r="L14" s="3">
        <f>VLOOKUP($A$2,'Circuit Data'!$A$2:$ED$15,51,)</f>
        <v>554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990</v>
      </c>
      <c r="H15" s="3">
        <f>VLOOKUP($A$2,'Circuit Data'!$A$2:$ED$15,61,)</f>
        <v>1020</v>
      </c>
      <c r="I15" s="3">
        <f>VLOOKUP($A$2,'Circuit Data'!$A$2:$ED$15,60,)</f>
        <v>1049</v>
      </c>
      <c r="J15" s="3">
        <f>VLOOKUP($A$2,'Circuit Data'!$A$2:$ED$15,59,)</f>
        <v>965</v>
      </c>
      <c r="K15" s="3">
        <f>VLOOKUP($A$2,'Circuit Data'!$A$2:$ED$15,58,)</f>
        <v>924</v>
      </c>
      <c r="L15" s="3">
        <f>VLOOKUP($A$2,'Circuit Data'!$A$2:$ED$15,57,)</f>
        <v>940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72</v>
      </c>
      <c r="H16" s="3">
        <f>VLOOKUP($A$2,'Circuit Data'!$A$2:$ED$15,67,)</f>
        <v>85</v>
      </c>
      <c r="I16" s="3">
        <f>VLOOKUP($A$2,'Circuit Data'!$A$2:$ED$15,66,)</f>
        <v>111</v>
      </c>
      <c r="J16" s="3">
        <f>VLOOKUP($A$2,'Circuit Data'!$A$2:$ED$15,65,)</f>
        <v>107</v>
      </c>
      <c r="K16" s="3">
        <f>VLOOKUP($A$2,'Circuit Data'!$A$2:$ED$15,64,)</f>
        <v>116</v>
      </c>
      <c r="L16" s="3">
        <f>VLOOKUP($A$2,'Circuit Data'!$A$2:$ED$15,63,)</f>
        <v>101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376</v>
      </c>
      <c r="H17" s="3">
        <f>VLOOKUP($A$2,'Circuit Data'!$A$2:$ED$15,73,)</f>
        <v>360</v>
      </c>
      <c r="I17" s="3">
        <f>VLOOKUP($A$2,'Circuit Data'!$A$2:$ED$15,72,)</f>
        <v>357</v>
      </c>
      <c r="J17" s="3">
        <f>VLOOKUP($A$2,'Circuit Data'!$A$2:$ED$15,71,)</f>
        <v>380</v>
      </c>
      <c r="K17" s="3">
        <f>VLOOKUP($A$2,'Circuit Data'!$A$2:$ED$15,70,)</f>
        <v>358</v>
      </c>
      <c r="L17" s="3">
        <f>VLOOKUP($A$2,'Circuit Data'!$A$2:$ED$15,69,)</f>
        <v>445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398</v>
      </c>
      <c r="H18" s="3">
        <f>VLOOKUP($A$2,'Circuit Data'!$A$2:$ED$15,79,)</f>
        <v>419</v>
      </c>
      <c r="I18" s="3">
        <f>VLOOKUP($A$2,'Circuit Data'!$A$2:$ED$15,78,)</f>
        <v>442</v>
      </c>
      <c r="J18" s="3">
        <f>VLOOKUP($A$2,'Circuit Data'!$A$2:$ED$15,77,)</f>
        <v>351</v>
      </c>
      <c r="K18" s="3">
        <f>VLOOKUP($A$2,'Circuit Data'!$A$2:$ED$15,76,)</f>
        <v>333</v>
      </c>
      <c r="L18" s="3">
        <f>VLOOKUP($A$2,'Circuit Data'!$A$2:$ED$15,75,)</f>
        <v>305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144</v>
      </c>
      <c r="H19" s="3">
        <f>VLOOKUP($A$2,'Circuit Data'!$A$2:$ED$15,85,)</f>
        <v>156</v>
      </c>
      <c r="I19" s="3">
        <f>VLOOKUP($A$2,'Circuit Data'!$A$2:$ED$15,84,)</f>
        <v>139</v>
      </c>
      <c r="J19" s="3">
        <f>VLOOKUP($A$2,'Circuit Data'!$A$2:$ED$15,83,)</f>
        <v>127</v>
      </c>
      <c r="K19" s="3">
        <f>VLOOKUP($A$2,'Circuit Data'!$A$2:$ED$15,82,)</f>
        <v>117</v>
      </c>
      <c r="L19" s="3">
        <f>VLOOKUP($A$2,'Circuit Data'!$A$2:$ED$15,81,)</f>
        <v>89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71.900000000000006</v>
      </c>
      <c r="H20" s="5">
        <f>VLOOKUP($A$2,'Circuit Data'!$A$2:$ED$15,91,)</f>
        <v>73.900000000000006</v>
      </c>
      <c r="I20" s="5">
        <f>VLOOKUP($A$2,'Circuit Data'!$A$2:$ED$15,90,)</f>
        <v>75.3</v>
      </c>
      <c r="J20" s="5">
        <f>VLOOKUP($A$2,'Circuit Data'!$A$2:$ED$15,89,)</f>
        <v>84</v>
      </c>
      <c r="K20" s="5">
        <f>VLOOKUP($A$2,'Circuit Data'!$A$2:$ED$15,88,)</f>
        <v>87.8</v>
      </c>
      <c r="L20" s="5">
        <f>VLOOKUP($A$2,'Circuit Data'!$A$2:$ED$15,87,)</f>
        <v>83.9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1600</v>
      </c>
      <c r="H21" s="3">
        <f>VLOOKUP($A$2,'Circuit Data'!$A$2:$ED$15,97,)</f>
        <v>1464</v>
      </c>
      <c r="I21" s="3">
        <f>VLOOKUP($A$2,'Circuit Data'!$A$2:$ED$15,96,)</f>
        <v>1464</v>
      </c>
      <c r="J21" s="3">
        <f>VLOOKUP($A$2,'Circuit Data'!$A$2:$ED$15,95,)</f>
        <v>1290</v>
      </c>
      <c r="K21" s="3">
        <f>VLOOKUP($A$2,'Circuit Data'!$A$2:$ED$15,94,)</f>
        <v>1306</v>
      </c>
      <c r="L21" s="3">
        <f>VLOOKUP($A$2,'Circuit Data'!$A$2:$ED$15,93,)</f>
        <v>1287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406</v>
      </c>
      <c r="H22" s="3">
        <f>VLOOKUP($A$2,'Circuit Data'!$A$2:$ED$15,103,)</f>
        <v>447</v>
      </c>
      <c r="I22" s="3">
        <f>VLOOKUP($A$2,'Circuit Data'!$A$2:$ED$15,102,)</f>
        <v>475</v>
      </c>
      <c r="J22" s="3">
        <f>VLOOKUP($A$2,'Circuit Data'!$A$2:$ED$15,101,)</f>
        <v>433</v>
      </c>
      <c r="K22" s="3">
        <f>VLOOKUP($A$2,'Circuit Data'!$A$2:$ED$15,100,)</f>
        <v>415</v>
      </c>
      <c r="L22" s="3">
        <f>VLOOKUP($A$2,'Circuit Data'!$A$2:$ED$15,99,)</f>
        <v>415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84</v>
      </c>
      <c r="H23" s="3">
        <f>VLOOKUP($A$2,'Circuit Data'!$A$2:$ED$15,109,)</f>
        <v>96</v>
      </c>
      <c r="I23" s="3">
        <f>VLOOKUP($A$2,'Circuit Data'!$A$2:$ED$15,108,)</f>
        <v>86</v>
      </c>
      <c r="J23" s="3">
        <f>VLOOKUP($A$2,'Circuit Data'!$A$2:$ED$15,107,)</f>
        <v>92</v>
      </c>
      <c r="K23" s="3">
        <f>VLOOKUP($A$2,'Circuit Data'!$A$2:$ED$15,106,)</f>
        <v>82</v>
      </c>
      <c r="L23" s="3">
        <f>VLOOKUP($A$2,'Circuit Data'!$A$2:$ED$15,105,)</f>
        <v>79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164</v>
      </c>
      <c r="H24" s="3">
        <f>VLOOKUP($A$2,'Circuit Data'!$A$2:$ED$15,115,)</f>
        <v>158</v>
      </c>
      <c r="I24" s="3">
        <f>VLOOKUP($A$2,'Circuit Data'!$A$2:$ED$15,114,)</f>
        <v>163</v>
      </c>
      <c r="J24" s="3">
        <f>VLOOKUP($A$2,'Circuit Data'!$A$2:$ED$15,113,)</f>
        <v>156</v>
      </c>
      <c r="K24" s="3">
        <f>VLOOKUP($A$2,'Circuit Data'!$A$2:$ED$15,112,)</f>
        <v>154</v>
      </c>
      <c r="L24" s="3">
        <f>VLOOKUP($A$2,'Circuit Data'!$A$2:$ED$15,111,)</f>
        <v>126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49</v>
      </c>
      <c r="H25" s="3">
        <f>VLOOKUP($A$2,'Circuit Data'!$A$2:$ED$15,121,)</f>
        <v>55</v>
      </c>
      <c r="I25" s="3">
        <f>VLOOKUP($A$2,'Circuit Data'!$A$2:$ED$15,120,)</f>
        <v>52</v>
      </c>
      <c r="J25" s="3">
        <f>VLOOKUP($A$2,'Circuit Data'!$A$2:$ED$15,119,)</f>
        <v>43</v>
      </c>
      <c r="K25" s="3">
        <f>VLOOKUP($A$2,'Circuit Data'!$A$2:$ED$15,118,)</f>
        <v>40</v>
      </c>
      <c r="L25" s="3">
        <f>VLOOKUP($A$2,'Circuit Data'!$A$2:$ED$15,117,)</f>
        <v>39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115</v>
      </c>
      <c r="H26" s="3">
        <f>VLOOKUP($A$2,'Circuit Data'!$A$2:$ED$15,127,)</f>
        <v>103</v>
      </c>
      <c r="I26" s="3">
        <f>VLOOKUP($A$2,'Circuit Data'!$A$2:$ED$15,126,)</f>
        <v>110</v>
      </c>
      <c r="J26" s="3">
        <f>VLOOKUP($A$2,'Circuit Data'!$A$2:$ED$15,125,)</f>
        <v>113</v>
      </c>
      <c r="K26" s="3">
        <f>VLOOKUP($A$2,'Circuit Data'!$A$2:$ED$15,124,)</f>
        <v>114</v>
      </c>
      <c r="L26" s="3">
        <f>VLOOKUP($A$2,'Circuit Data'!$A$2:$ED$15,123,)</f>
        <v>86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 t="str">
        <f>VLOOKUP($A$2,'Circuit Data'!$A$2:$ED$15,134,)</f>
        <v>-</v>
      </c>
      <c r="H27" s="3" t="str">
        <f>VLOOKUP($A$2,'Circuit Data'!$A$2:$ED$15,133,)</f>
        <v>-</v>
      </c>
      <c r="I27" s="3">
        <f>VLOOKUP($A$2,'Circuit Data'!$A$2:$ED$15,132,)</f>
        <v>1</v>
      </c>
      <c r="J27" s="3" t="str">
        <f>VLOOKUP($A$2,'Circuit Data'!$A$2:$ED$15,131,)</f>
        <v>-</v>
      </c>
      <c r="K27" s="3" t="str">
        <f>VLOOKUP($A$2,'Circuit Data'!$A$2:$ED$15,130,)</f>
        <v>-</v>
      </c>
      <c r="L27" s="3">
        <f>VLOOKUP($A$2,'Circuit Data'!$A$2:$ED$15,129,)</f>
        <v>1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FIRST CIRCUIT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6/2.0</v>
      </c>
      <c r="H34" s="3" t="str">
        <f>VLOOKUP($A$2,'Circuit Data2'!$A$2:$EP$15,12,)&amp;"/"&amp;TEXT(VLOOKUP($A$2,'Circuit Data2'!$A$2:$EP$15,13,),"0.0")</f>
        <v>6/2.0</v>
      </c>
      <c r="I34" s="3" t="str">
        <f>VLOOKUP($A$2,'Circuit Data2'!$A$2:$EP$15,10,)&amp;"/"&amp;TEXT(VLOOKUP($A$2,'Circuit Data2'!$A$2:$EP$15,11,),"0.0")</f>
        <v>6/2.0</v>
      </c>
      <c r="J34" s="3" t="str">
        <f>VLOOKUP($A$2,'Circuit Data2'!$A$2:$EP$15,8,)&amp;"/"&amp;TEXT(VLOOKUP($A$2,'Circuit Data2'!$A$2:$EP$15,9,),"0.0")</f>
        <v>6/2.0</v>
      </c>
      <c r="K34" s="3" t="str">
        <f>VLOOKUP($A$2,'Circuit Data2'!$A$2:$EP$15,6,)&amp;"/"&amp;TEXT(VLOOKUP($A$2,'Circuit Data2'!$A$2:$EP$15,7,),"0.0")</f>
        <v>6/2.0</v>
      </c>
      <c r="L34" s="3" t="str">
        <f>VLOOKUP($A$2,'Circuit Data2'!$A$2:$EP$15,4,)&amp;"/"&amp;TEXT(VLOOKUP($A$2,'Circuit Data2'!$A$2:$EP$15,5,),"0.0")</f>
        <v>6/2.0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4</v>
      </c>
      <c r="H35" s="3">
        <f>VLOOKUP($A$2,'Circuit Data2'!$A$2:$EP$15,20,)</f>
        <v>4</v>
      </c>
      <c r="I35" s="3">
        <f>VLOOKUP($A$2,'Circuit Data2'!$A$2:$EP$15,19,)</f>
        <v>2</v>
      </c>
      <c r="J35" s="3">
        <f>VLOOKUP($A$2,'Circuit Data2'!$A$2:$EP$15,18,)</f>
        <v>2</v>
      </c>
      <c r="K35" s="3">
        <f>VLOOKUP($A$2,'Circuit Data2'!$A$2:$EP$15,17,)</f>
        <v>2</v>
      </c>
      <c r="L35" s="3">
        <f>VLOOKUP($A$2,'Circuit Data2'!$A$2:$EP$15,16,)</f>
        <v>2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9</v>
      </c>
      <c r="H36" s="17">
        <f>VLOOKUP($A$2,'Circuit Data2'!$A$2:$EP$15,26,)</f>
        <v>12</v>
      </c>
      <c r="I36" s="17">
        <f>VLOOKUP($A$2,'Circuit Data2'!$A$2:$EP$15,25,)</f>
        <v>12</v>
      </c>
      <c r="J36" s="17">
        <f>VLOOKUP($A$2,'Circuit Data2'!$A$2:$EP$15,24,)</f>
        <v>5.5</v>
      </c>
      <c r="K36" s="17">
        <f>VLOOKUP($A$2,'Circuit Data2'!$A$2:$EP$15,23,)</f>
        <v>2.5</v>
      </c>
      <c r="L36" s="17">
        <f>VLOOKUP($A$2,'Circuit Data2'!$A$2:$EP$15,22,)</f>
        <v>0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932</v>
      </c>
      <c r="H37" s="3">
        <f>VLOOKUP($A$2,'Circuit Data2'!$A$2:$EP$15,32,)</f>
        <v>816</v>
      </c>
      <c r="I37" s="3">
        <f>VLOOKUP($A$2,'Circuit Data2'!$A$2:$EP$15,31,)</f>
        <v>873</v>
      </c>
      <c r="J37" s="3">
        <f>VLOOKUP($A$2,'Circuit Data2'!$A$2:$EP$15,30,)</f>
        <v>765</v>
      </c>
      <c r="K37" s="3">
        <f>VLOOKUP($A$2,'Circuit Data2'!$A$2:$EP$15,29,)</f>
        <v>765</v>
      </c>
      <c r="L37" s="3">
        <f>VLOOKUP($A$2,'Circuit Data2'!$A$2:$EP$15,28,)</f>
        <v>767</v>
      </c>
      <c r="M37" s="16">
        <f>VLOOKUP($A$2,'Circuit Data2'!$A$2:$EP$15,34,)</f>
        <v>10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125</v>
      </c>
      <c r="H38" s="3">
        <f>VLOOKUP($A$2,'Circuit Data2'!$A$2:$EP$15,39,)</f>
        <v>137</v>
      </c>
      <c r="I38" s="3">
        <f>VLOOKUP($A$2,'Circuit Data2'!$A$2:$EP$15,38,)</f>
        <v>145</v>
      </c>
      <c r="J38" s="3">
        <f>VLOOKUP($A$2,'Circuit Data2'!$A$2:$EP$15,37,)</f>
        <v>125</v>
      </c>
      <c r="K38" s="3">
        <f>VLOOKUP($A$2,'Circuit Data2'!$A$2:$EP$15,36,)</f>
        <v>113</v>
      </c>
      <c r="L38" s="3">
        <f>VLOOKUP($A$2,'Circuit Data2'!$A$2:$EP$15,35,)</f>
        <v>106</v>
      </c>
      <c r="M38" s="11">
        <f>VLOOKUP($A$2,'Circuit Data2'!$A$2:$EP$15,41,)</f>
        <v>11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322</v>
      </c>
      <c r="H39" s="3">
        <f>VLOOKUP($A$2,'Circuit Data2'!$A$2:$EP$15,46,)</f>
        <v>310</v>
      </c>
      <c r="I39" s="3">
        <f>VLOOKUP($A$2,'Circuit Data2'!$A$2:$EP$15,45,)</f>
        <v>356</v>
      </c>
      <c r="J39" s="3">
        <f>VLOOKUP($A$2,'Circuit Data2'!$A$2:$EP$15,44,)</f>
        <v>303</v>
      </c>
      <c r="K39" s="3">
        <f>VLOOKUP($A$2,'Circuit Data2'!$A$2:$EP$15,43,)</f>
        <v>302</v>
      </c>
      <c r="L39" s="3">
        <f>VLOOKUP($A$2,'Circuit Data2'!$A$2:$EP$15,42,)</f>
        <v>325</v>
      </c>
      <c r="M39" s="12">
        <f>VLOOKUP($A$2,'Circuit Data2'!$A$2:$EP$15,48,)</f>
        <v>7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365</v>
      </c>
      <c r="H40" s="3">
        <f>VLOOKUP($A$2,'Circuit Data2'!$A$2:$EP$15,53,)</f>
        <v>273</v>
      </c>
      <c r="I40" s="3">
        <f>VLOOKUP($A$2,'Circuit Data2'!$A$2:$EP$15,52,)</f>
        <v>277</v>
      </c>
      <c r="J40" s="3">
        <f>VLOOKUP($A$2,'Circuit Data2'!$A$2:$EP$15,51,)</f>
        <v>258</v>
      </c>
      <c r="K40" s="14">
        <f>VLOOKUP($A$2,'Circuit Data2'!$A$2:$EP$15,50,)</f>
        <v>263</v>
      </c>
      <c r="L40" s="3">
        <f>VLOOKUP($A$2,'Circuit Data2'!$A$2:$EP$15,49,)</f>
        <v>240</v>
      </c>
      <c r="M40" s="12">
        <f>VLOOKUP($A$2,'Circuit Data2'!$A$2:$EP$15,55,)</f>
        <v>4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120</v>
      </c>
      <c r="H41" s="3">
        <f>VLOOKUP($A$2,'Circuit Data2'!$A$2:$EP$15,60,)</f>
        <v>96</v>
      </c>
      <c r="I41" s="3">
        <f>VLOOKUP($A$2,'Circuit Data2'!$A$2:$EP$15,59,)</f>
        <v>95</v>
      </c>
      <c r="J41" s="3">
        <f>VLOOKUP($A$2,'Circuit Data2'!$A$2:$EP$15,58,)</f>
        <v>79</v>
      </c>
      <c r="K41" s="3">
        <f>VLOOKUP($A$2,'Circuit Data2'!$A$2:$EP$15,57,)</f>
        <v>87</v>
      </c>
      <c r="L41" s="3">
        <f>VLOOKUP($A$2,'Circuit Data2'!$A$2:$EP$15,56,)</f>
        <v>96</v>
      </c>
      <c r="M41" s="12">
        <f>VLOOKUP($A$2,'Circuit Data2'!$A$2:$EP$15,62,)</f>
        <v>6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876</v>
      </c>
      <c r="H42" s="3">
        <f>VLOOKUP($A$2,'Circuit Data2'!$A$2:$EP$15,67,)</f>
        <v>888</v>
      </c>
      <c r="I42" s="3">
        <f>VLOOKUP($A$2,'Circuit Data2'!$A$2:$EP$15,66,)</f>
        <v>875</v>
      </c>
      <c r="J42" s="3">
        <f>VLOOKUP($A$2,'Circuit Data2'!$A$2:$EP$15,65,)</f>
        <v>853</v>
      </c>
      <c r="K42" s="3">
        <f>VLOOKUP($A$2,'Circuit Data2'!$A$2:$EP$15,64,)</f>
        <v>800</v>
      </c>
      <c r="L42" s="3">
        <f>VLOOKUP($A$2,'Circuit Data2'!$A$2:$EP$15,63,)</f>
        <v>747</v>
      </c>
      <c r="M42" s="13">
        <f>VLOOKUP($A$2,'Circuit Data2'!$A$2:$EP$15,69,)</f>
        <v>10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52</v>
      </c>
      <c r="H43" s="15">
        <f>VLOOKUP($A$2,'Circuit Data2'!$A$2:$EP$15,74,)</f>
        <v>25</v>
      </c>
      <c r="I43" s="3">
        <f>VLOOKUP($A$2,'Circuit Data2'!$A$2:$EP$15,73,)</f>
        <v>32</v>
      </c>
      <c r="J43" s="3">
        <f>VLOOKUP($A$2,'Circuit Data2'!$A$2:$EP$15,72,)</f>
        <v>46</v>
      </c>
      <c r="K43" s="3">
        <f>VLOOKUP($A$2,'Circuit Data2'!$A$2:$EP$15,71,)</f>
        <v>38</v>
      </c>
      <c r="L43" s="3">
        <f>VLOOKUP($A$2,'Circuit Data2'!$A$2:$EP$15,70,)</f>
        <v>38</v>
      </c>
      <c r="M43" s="13">
        <f>VLOOKUP($A$2,'Circuit Data2'!$A$2:$EP$15,76,)</f>
        <v>7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329</v>
      </c>
      <c r="H44" s="3">
        <f>VLOOKUP($A$2,'Circuit Data2'!$A$2:$EP$15,81,)</f>
        <v>353</v>
      </c>
      <c r="I44" s="3">
        <f>VLOOKUP($A$2,'Circuit Data2'!$A$2:$EP$15,80,)</f>
        <v>318</v>
      </c>
      <c r="J44" s="3">
        <f>VLOOKUP($A$2,'Circuit Data2'!$A$2:$EP$15,79,)</f>
        <v>324</v>
      </c>
      <c r="K44" s="3">
        <f>VLOOKUP($A$2,'Circuit Data2'!$A$2:$EP$15,78,)</f>
        <v>300</v>
      </c>
      <c r="L44" s="3">
        <f>VLOOKUP($A$2,'Circuit Data2'!$A$2:$EP$15,77,)</f>
        <v>277</v>
      </c>
      <c r="M44" s="13">
        <f>VLOOKUP($A$2,'Circuit Data2'!$A$2:$EP$15,83,)</f>
        <v>9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495</v>
      </c>
      <c r="H45" s="3">
        <f>VLOOKUP($A$2,'Circuit Data2'!$A$2:$EP$15,88,)</f>
        <v>510</v>
      </c>
      <c r="I45" s="3">
        <f>VLOOKUP($A$2,'Circuit Data2'!$A$2:$EP$15,87,)</f>
        <v>525</v>
      </c>
      <c r="J45" s="3">
        <f>VLOOKUP($A$2,'Circuit Data2'!$A$2:$EP$15,86,)</f>
        <v>483</v>
      </c>
      <c r="K45" s="3">
        <f>VLOOKUP($A$2,'Circuit Data2'!$A$2:$EP$15,85,)</f>
        <v>462</v>
      </c>
      <c r="L45" s="3">
        <f>VLOOKUP($A$2,'Circuit Data2'!$A$2:$EP$15,84,)</f>
        <v>470</v>
      </c>
      <c r="M45" s="13">
        <f>VLOOKUP($A$2,'Circuit Data2'!$A$2:$EP$15,90,)</f>
        <v>9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36</v>
      </c>
      <c r="H46" s="3">
        <f>VLOOKUP($A$2,'Circuit Data2'!$A$2:$EP$15,95,)</f>
        <v>43</v>
      </c>
      <c r="I46" s="3">
        <f>VLOOKUP($A$2,'Circuit Data2'!$A$2:$EP$15,94,)</f>
        <v>56</v>
      </c>
      <c r="J46" s="3">
        <f>VLOOKUP($A$2,'Circuit Data2'!$A$2:$EP$15,93,)</f>
        <v>54</v>
      </c>
      <c r="K46" s="3">
        <f>VLOOKUP($A$2,'Circuit Data2'!$A$2:$EP$15,92,)</f>
        <v>58</v>
      </c>
      <c r="L46" s="3">
        <f>VLOOKUP($A$2,'Circuit Data2'!$A$2:$EP$15,91,)</f>
        <v>51</v>
      </c>
      <c r="M46" s="11">
        <f>VLOOKUP($A$2,'Circuit Data2'!$A$2:$EP$15,97,)</f>
        <v>10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188</v>
      </c>
      <c r="H47" s="3">
        <f>VLOOKUP($A$2,'Circuit Data2'!$A$2:$EP$15,102,)</f>
        <v>179</v>
      </c>
      <c r="I47" s="3">
        <f>VLOOKUP($A$2,'Circuit Data2'!$A$2:$EP$15,101,)</f>
        <v>178</v>
      </c>
      <c r="J47" s="3">
        <f>VLOOKUP($A$2,'Circuit Data2'!$A$2:$EP$15,100,)</f>
        <v>189</v>
      </c>
      <c r="K47" s="3">
        <f>VLOOKUP($A$2,'Circuit Data2'!$A$2:$EP$15,99,)</f>
        <v>178</v>
      </c>
      <c r="L47" s="15">
        <f>VLOOKUP($A$2,'Circuit Data2'!$A$2:$EP$15,98,)</f>
        <v>221</v>
      </c>
      <c r="M47" s="13">
        <f>VLOOKUP($A$2,'Circuit Data2'!$A$2:$EP$15,104,)</f>
        <v>6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199</v>
      </c>
      <c r="H48" s="3">
        <f>VLOOKUP($A$2,'Circuit Data2'!$A$2:$EP$15,109,)</f>
        <v>210</v>
      </c>
      <c r="I48" s="3">
        <f>VLOOKUP($A$2,'Circuit Data2'!$A$2:$EP$15,108,)</f>
        <v>221</v>
      </c>
      <c r="J48" s="3">
        <f>VLOOKUP($A$2,'Circuit Data2'!$A$2:$EP$15,107,)</f>
        <v>176</v>
      </c>
      <c r="K48" s="3">
        <f>VLOOKUP($A$2,'Circuit Data2'!$A$2:$EP$15,106,)</f>
        <v>167</v>
      </c>
      <c r="L48" s="3">
        <f>VLOOKUP($A$2,'Circuit Data2'!$A$2:$EP$15,105,)</f>
        <v>153</v>
      </c>
      <c r="M48" s="13">
        <f>VLOOKUP($A$2,'Circuit Data2'!$A$2:$EP$15,111,)</f>
        <v>6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72</v>
      </c>
      <c r="H49" s="3">
        <f>VLOOKUP($A$2,'Circuit Data2'!$A$2:$EP$15,116,)</f>
        <v>78</v>
      </c>
      <c r="I49" s="3">
        <f>VLOOKUP($A$2,'Circuit Data2'!$A$2:$EP$15,115,)</f>
        <v>70</v>
      </c>
      <c r="J49" s="3">
        <f>VLOOKUP($A$2,'Circuit Data2'!$A$2:$EP$15,114,)</f>
        <v>64</v>
      </c>
      <c r="K49" s="3">
        <f>VLOOKUP($A$2,'Circuit Data2'!$A$2:$EP$15,113,)</f>
        <v>59</v>
      </c>
      <c r="L49" s="3">
        <f>VLOOKUP($A$2,'Circuit Data2'!$A$2:$EP$15,112,)</f>
        <v>45</v>
      </c>
      <c r="M49" s="13">
        <f>VLOOKUP($A$2,'Circuit Data2'!$A$2:$EP$15,118,)</f>
        <v>6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800</v>
      </c>
      <c r="H50" s="3">
        <f>VLOOKUP($A$2,'Circuit Data2'!$A$2:$EP$15,123,)</f>
        <v>732</v>
      </c>
      <c r="I50" s="3">
        <f>VLOOKUP($A$2,'Circuit Data2'!$A$2:$EP$15,122,)</f>
        <v>732</v>
      </c>
      <c r="J50" s="3">
        <f>VLOOKUP($A$2,'Circuit Data2'!$A$2:$EP$15,121,)</f>
        <v>645</v>
      </c>
      <c r="K50" s="3">
        <f>VLOOKUP($A$2,'Circuit Data2'!$A$2:$EP$15,120,)</f>
        <v>653</v>
      </c>
      <c r="L50" s="3">
        <f>VLOOKUP($A$2,'Circuit Data2'!$A$2:$EP$15,119,)</f>
        <v>644</v>
      </c>
      <c r="M50" s="13">
        <f>VLOOKUP($A$2,'Circuit Data2'!$A$2:$EP$15,125,)</f>
        <v>6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12.7</v>
      </c>
      <c r="H51" s="10">
        <f>VLOOKUP($A$2,'Circuit Data2'!$A$2:$EP$15,130,)</f>
        <v>13.3</v>
      </c>
      <c r="I51" s="5">
        <f>VLOOKUP($A$2,'Circuit Data2'!$A$2:$EP$15,129,)</f>
        <v>12.2</v>
      </c>
      <c r="J51" s="5">
        <f>VLOOKUP($A$2,'Circuit Data2'!$A$2:$EP$15,128,)</f>
        <v>11.7</v>
      </c>
      <c r="K51" s="5">
        <f>VLOOKUP($A$2,'Circuit Data2'!$A$2:$EP$15,127,)</f>
        <v>11.9</v>
      </c>
      <c r="L51" s="5">
        <f>VLOOKUP($A$2,'Circuit Data2'!$A$2:$EP$15,126,)</f>
        <v>11.6</v>
      </c>
      <c r="M51" s="12">
        <f>VLOOKUP($A$2,'Circuit Data2'!$A$2:$EP$15,132,)</f>
        <v>9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1</v>
      </c>
      <c r="H52" s="3">
        <f>VLOOKUP($A$2,'Circuit Data2'!$A$2:$EP$15,137,)</f>
        <v>2</v>
      </c>
      <c r="I52" s="3">
        <f>VLOOKUP($A$2,'Circuit Data2'!$A$2:$EP$15,136,)</f>
        <v>1</v>
      </c>
      <c r="J52" s="3">
        <f>VLOOKUP($A$2,'Circuit Data2'!$A$2:$EP$15,135,)</f>
        <v>1</v>
      </c>
      <c r="K52" s="3">
        <f>VLOOKUP($A$2,'Circuit Data2'!$A$2:$EP$15,134,)</f>
        <v>1</v>
      </c>
      <c r="L52" s="3">
        <f>VLOOKUP($A$2,'Circuit Data2'!$A$2:$EP$15,133,)</f>
        <v>2</v>
      </c>
      <c r="M52" s="11">
        <f>VLOOKUP($A$2,'Circuit Data2'!$A$2:$EP$15,139,)</f>
        <v>3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43</v>
      </c>
      <c r="H53" s="3">
        <f>VLOOKUP($A$2,'Circuit Data2'!$A$2:$EP$15,144,)</f>
        <v>44</v>
      </c>
      <c r="I53" s="3">
        <f>VLOOKUP($A$2,'Circuit Data2'!$A$2:$EP$15,143,)</f>
        <v>65</v>
      </c>
      <c r="J53" s="3">
        <f>VLOOKUP($A$2,'Circuit Data2'!$A$2:$EP$15,142,)</f>
        <v>53</v>
      </c>
      <c r="K53" s="3">
        <f>VLOOKUP($A$2,'Circuit Data2'!$A$2:$EP$15,141,)</f>
        <v>48</v>
      </c>
      <c r="L53" s="3">
        <f>VLOOKUP($A$2,'Circuit Data2'!$A$2:$EP$15,140,)</f>
        <v>61</v>
      </c>
      <c r="M53" s="11">
        <f>VLOOKUP($A$2,'Circuit Data2'!$A$2:$EP$15,146,)</f>
        <v>5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232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6334</v>
      </c>
      <c r="H5" s="3">
        <f>VLOOKUP($A$2,'Circuit Data'!$A$2:$ED$15,7,)</f>
        <v>6904</v>
      </c>
      <c r="I5" s="3">
        <f>VLOOKUP($A$2,'Circuit Data'!$A$2:$ED$15,6,)</f>
        <v>5747</v>
      </c>
      <c r="J5" s="3">
        <f>VLOOKUP($A$2,'Circuit Data'!$A$2:$ED$15,5,)</f>
        <v>5371</v>
      </c>
      <c r="K5" s="3">
        <f>VLOOKUP($A$2,'Circuit Data'!$A$2:$ED$15,4,)</f>
        <v>5459</v>
      </c>
      <c r="L5" s="3">
        <f>VLOOKUP($A$2,'Circuit Data'!$A$2:$ED$15,3,)</f>
        <v>5661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1069</v>
      </c>
      <c r="H6" s="3">
        <f>VLOOKUP($A$2,'Circuit Data'!$A$2:$ED$15,13,)</f>
        <v>1001</v>
      </c>
      <c r="I6" s="3">
        <f>VLOOKUP($A$2,'Circuit Data'!$A$2:$ED$15,12,)</f>
        <v>851</v>
      </c>
      <c r="J6" s="3">
        <f>VLOOKUP($A$2,'Circuit Data'!$A$2:$ED$15,11,)</f>
        <v>1008</v>
      </c>
      <c r="K6" s="3">
        <f>VLOOKUP($A$2,'Circuit Data'!$A$2:$ED$15,10,)</f>
        <v>1010</v>
      </c>
      <c r="L6" s="3">
        <f>VLOOKUP($A$2,'Circuit Data'!$A$2:$ED$15,9,)</f>
        <v>1009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2001</v>
      </c>
      <c r="H7" s="3">
        <f>VLOOKUP($A$2,'Circuit Data'!$A$2:$ED$15,19,)</f>
        <v>1990</v>
      </c>
      <c r="I7" s="3">
        <f>VLOOKUP($A$2,'Circuit Data'!$A$2:$ED$15,18,)</f>
        <v>2253</v>
      </c>
      <c r="J7" s="3">
        <f>VLOOKUP($A$2,'Circuit Data'!$A$2:$ED$15,17,)</f>
        <v>2190</v>
      </c>
      <c r="K7" s="3">
        <f>VLOOKUP($A$2,'Circuit Data'!$A$2:$ED$15,16,)</f>
        <v>2228</v>
      </c>
      <c r="L7" s="3">
        <f>VLOOKUP($A$2,'Circuit Data'!$A$2:$ED$15,15,)</f>
        <v>2327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993</v>
      </c>
      <c r="H8" s="3">
        <f>VLOOKUP($A$2,'Circuit Data'!$A$2:$ED$15,25,)</f>
        <v>925</v>
      </c>
      <c r="I8" s="3">
        <f>VLOOKUP($A$2,'Circuit Data'!$A$2:$ED$15,24,)</f>
        <v>938</v>
      </c>
      <c r="J8" s="3">
        <f>VLOOKUP($A$2,'Circuit Data'!$A$2:$ED$15,23,)</f>
        <v>816</v>
      </c>
      <c r="K8" s="3">
        <f>VLOOKUP($A$2,'Circuit Data'!$A$2:$ED$15,22,)</f>
        <v>829</v>
      </c>
      <c r="L8" s="3">
        <f>VLOOKUP($A$2,'Circuit Data'!$A$2:$ED$15,21,)</f>
        <v>828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2271</v>
      </c>
      <c r="H9" s="3">
        <f>VLOOKUP($A$2,'Circuit Data'!$A$2:$ED$15,31,)</f>
        <v>2988</v>
      </c>
      <c r="I9" s="3">
        <f>VLOOKUP($A$2,'Circuit Data'!$A$2:$ED$15,30,)</f>
        <v>1705</v>
      </c>
      <c r="J9" s="3">
        <f>VLOOKUP($A$2,'Circuit Data'!$A$2:$ED$15,29,)</f>
        <v>1357</v>
      </c>
      <c r="K9" s="3">
        <f>VLOOKUP($A$2,'Circuit Data'!$A$2:$ED$15,28,)</f>
        <v>1392</v>
      </c>
      <c r="L9" s="3">
        <f>VLOOKUP($A$2,'Circuit Data'!$A$2:$ED$15,27,)</f>
        <v>1497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3.7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-10.6</v>
      </c>
      <c r="H11" s="5">
        <f>VLOOKUP($A$2,'Circuit Data'!$A$2:$ED$15,37,)</f>
        <v>-18</v>
      </c>
      <c r="I11" s="5">
        <f>VLOOKUP($A$2,'Circuit Data'!$A$2:$ED$15,36,)</f>
        <v>-1.5</v>
      </c>
      <c r="J11" s="5">
        <f>VLOOKUP($A$2,'Circuit Data'!$A$2:$ED$15,35,)</f>
        <v>5.4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7228</v>
      </c>
      <c r="H12" s="9">
        <f>VLOOKUP($A$2,'Circuit Data'!$A$2:$ED$15,43,)</f>
        <v>6434</v>
      </c>
      <c r="I12" s="3">
        <f>VLOOKUP($A$2,'Circuit Data'!$A$2:$ED$15,42,)</f>
        <v>6816</v>
      </c>
      <c r="J12" s="3">
        <f>VLOOKUP($A$2,'Circuit Data'!$A$2:$ED$15,41,)</f>
        <v>6300</v>
      </c>
      <c r="K12" s="3">
        <f>VLOOKUP($A$2,'Circuit Data'!$A$2:$ED$15,40,)</f>
        <v>5761</v>
      </c>
      <c r="L12" s="3">
        <f>VLOOKUP($A$2,'Circuit Data'!$A$2:$ED$15,39,)</f>
        <v>5175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403</v>
      </c>
      <c r="H13" s="3">
        <f>VLOOKUP($A$2,'Circuit Data'!$A$2:$ED$15,49,)</f>
        <v>392</v>
      </c>
      <c r="I13" s="3">
        <f>VLOOKUP($A$2,'Circuit Data'!$A$2:$ED$15,48,)</f>
        <v>350</v>
      </c>
      <c r="J13" s="3">
        <f>VLOOKUP($A$2,'Circuit Data'!$A$2:$ED$15,47,)</f>
        <v>517</v>
      </c>
      <c r="K13" s="3">
        <f>VLOOKUP($A$2,'Circuit Data'!$A$2:$ED$15,46,)</f>
        <v>340</v>
      </c>
      <c r="L13" s="3">
        <f>VLOOKUP($A$2,'Circuit Data'!$A$2:$ED$15,45,)</f>
        <v>303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3940</v>
      </c>
      <c r="H14" s="3">
        <f>VLOOKUP($A$2,'Circuit Data'!$A$2:$ED$15,55,)</f>
        <v>3183</v>
      </c>
      <c r="I14" s="3">
        <f>VLOOKUP($A$2,'Circuit Data'!$A$2:$ED$15,54,)</f>
        <v>3236</v>
      </c>
      <c r="J14" s="3">
        <f>VLOOKUP($A$2,'Circuit Data'!$A$2:$ED$15,53,)</f>
        <v>2479</v>
      </c>
      <c r="K14" s="3">
        <f>VLOOKUP($A$2,'Circuit Data'!$A$2:$ED$15,52,)</f>
        <v>2251</v>
      </c>
      <c r="L14" s="3">
        <f>VLOOKUP($A$2,'Circuit Data'!$A$2:$ED$15,51,)</f>
        <v>2220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2885</v>
      </c>
      <c r="H15" s="3">
        <f>VLOOKUP($A$2,'Circuit Data'!$A$2:$ED$15,61,)</f>
        <v>2859</v>
      </c>
      <c r="I15" s="3">
        <f>VLOOKUP($A$2,'Circuit Data'!$A$2:$ED$15,60,)</f>
        <v>3230</v>
      </c>
      <c r="J15" s="3">
        <f>VLOOKUP($A$2,'Circuit Data'!$A$2:$ED$15,59,)</f>
        <v>3304</v>
      </c>
      <c r="K15" s="3">
        <f>VLOOKUP($A$2,'Circuit Data'!$A$2:$ED$15,58,)</f>
        <v>3170</v>
      </c>
      <c r="L15" s="3">
        <f>VLOOKUP($A$2,'Circuit Data'!$A$2:$ED$15,57,)</f>
        <v>2955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175</v>
      </c>
      <c r="H16" s="3">
        <f>VLOOKUP($A$2,'Circuit Data'!$A$2:$ED$15,67,)</f>
        <v>160</v>
      </c>
      <c r="I16" s="3">
        <f>VLOOKUP($A$2,'Circuit Data'!$A$2:$ED$15,66,)</f>
        <v>157</v>
      </c>
      <c r="J16" s="3">
        <f>VLOOKUP($A$2,'Circuit Data'!$A$2:$ED$15,65,)</f>
        <v>250</v>
      </c>
      <c r="K16" s="3">
        <f>VLOOKUP($A$2,'Circuit Data'!$A$2:$ED$15,64,)</f>
        <v>264</v>
      </c>
      <c r="L16" s="3">
        <f>VLOOKUP($A$2,'Circuit Data'!$A$2:$ED$15,63,)</f>
        <v>391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843</v>
      </c>
      <c r="H17" s="3">
        <f>VLOOKUP($A$2,'Circuit Data'!$A$2:$ED$15,73,)</f>
        <v>794</v>
      </c>
      <c r="I17" s="3">
        <f>VLOOKUP($A$2,'Circuit Data'!$A$2:$ED$15,72,)</f>
        <v>1085</v>
      </c>
      <c r="J17" s="3">
        <f>VLOOKUP($A$2,'Circuit Data'!$A$2:$ED$15,71,)</f>
        <v>1314</v>
      </c>
      <c r="K17" s="3">
        <f>VLOOKUP($A$2,'Circuit Data'!$A$2:$ED$15,70,)</f>
        <v>1201</v>
      </c>
      <c r="L17" s="3">
        <f>VLOOKUP($A$2,'Circuit Data'!$A$2:$ED$15,69,)</f>
        <v>1205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397</v>
      </c>
      <c r="H18" s="3">
        <f>VLOOKUP($A$2,'Circuit Data'!$A$2:$ED$15,79,)</f>
        <v>689</v>
      </c>
      <c r="I18" s="3">
        <f>VLOOKUP($A$2,'Circuit Data'!$A$2:$ED$15,78,)</f>
        <v>564</v>
      </c>
      <c r="J18" s="3">
        <f>VLOOKUP($A$2,'Circuit Data'!$A$2:$ED$15,77,)</f>
        <v>574</v>
      </c>
      <c r="K18" s="3">
        <f>VLOOKUP($A$2,'Circuit Data'!$A$2:$ED$15,76,)</f>
        <v>599</v>
      </c>
      <c r="L18" s="3">
        <f>VLOOKUP($A$2,'Circuit Data'!$A$2:$ED$15,75,)</f>
        <v>591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1470</v>
      </c>
      <c r="H19" s="3">
        <f>VLOOKUP($A$2,'Circuit Data'!$A$2:$ED$15,85,)</f>
        <v>1216</v>
      </c>
      <c r="I19" s="3">
        <f>VLOOKUP($A$2,'Circuit Data'!$A$2:$ED$15,84,)</f>
        <v>1424</v>
      </c>
      <c r="J19" s="3">
        <f>VLOOKUP($A$2,'Circuit Data'!$A$2:$ED$15,83,)</f>
        <v>1166</v>
      </c>
      <c r="K19" s="3">
        <f>VLOOKUP($A$2,'Circuit Data'!$A$2:$ED$15,82,)</f>
        <v>1106</v>
      </c>
      <c r="L19" s="3">
        <f>VLOOKUP($A$2,'Circuit Data'!$A$2:$ED$15,81,)</f>
        <v>768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68.099999999999994</v>
      </c>
      <c r="H20" s="5">
        <f>VLOOKUP($A$2,'Circuit Data'!$A$2:$ED$15,91,)</f>
        <v>71.2</v>
      </c>
      <c r="I20" s="5">
        <f>VLOOKUP($A$2,'Circuit Data'!$A$2:$ED$15,90,)</f>
        <v>64.3</v>
      </c>
      <c r="J20" s="5">
        <f>VLOOKUP($A$2,'Circuit Data'!$A$2:$ED$15,89,)</f>
        <v>53.3</v>
      </c>
      <c r="K20" s="5">
        <f>VLOOKUP($A$2,'Circuit Data'!$A$2:$ED$15,88,)</f>
        <v>54.9</v>
      </c>
      <c r="L20" s="5">
        <f>VLOOKUP($A$2,'Circuit Data'!$A$2:$ED$15,87,)</f>
        <v>55.1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6447</v>
      </c>
      <c r="H21" s="3">
        <f>VLOOKUP($A$2,'Circuit Data'!$A$2:$ED$15,97,)</f>
        <v>5981</v>
      </c>
      <c r="I21" s="3">
        <f>VLOOKUP($A$2,'Circuit Data'!$A$2:$ED$15,96,)</f>
        <v>5094</v>
      </c>
      <c r="J21" s="3">
        <f>VLOOKUP($A$2,'Circuit Data'!$A$2:$ED$15,95,)</f>
        <v>4220</v>
      </c>
      <c r="K21" s="3">
        <f>VLOOKUP($A$2,'Circuit Data'!$A$2:$ED$15,94,)</f>
        <v>4382</v>
      </c>
      <c r="L21" s="3">
        <f>VLOOKUP($A$2,'Circuit Data'!$A$2:$ED$15,93,)</f>
        <v>4873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485</v>
      </c>
      <c r="H22" s="3">
        <f>VLOOKUP($A$2,'Circuit Data'!$A$2:$ED$15,103,)</f>
        <v>472</v>
      </c>
      <c r="I22" s="3">
        <f>VLOOKUP($A$2,'Circuit Data'!$A$2:$ED$15,102,)</f>
        <v>557</v>
      </c>
      <c r="J22" s="3">
        <f>VLOOKUP($A$2,'Circuit Data'!$A$2:$ED$15,101,)</f>
        <v>548</v>
      </c>
      <c r="K22" s="3">
        <f>VLOOKUP($A$2,'Circuit Data'!$A$2:$ED$15,100,)</f>
        <v>535</v>
      </c>
      <c r="L22" s="3">
        <f>VLOOKUP($A$2,'Circuit Data'!$A$2:$ED$15,99,)</f>
        <v>484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112</v>
      </c>
      <c r="H23" s="3">
        <f>VLOOKUP($A$2,'Circuit Data'!$A$2:$ED$15,109,)</f>
        <v>185</v>
      </c>
      <c r="I23" s="3">
        <f>VLOOKUP($A$2,'Circuit Data'!$A$2:$ED$15,108,)</f>
        <v>255</v>
      </c>
      <c r="J23" s="3">
        <f>VLOOKUP($A$2,'Circuit Data'!$A$2:$ED$15,107,)</f>
        <v>170</v>
      </c>
      <c r="K23" s="3">
        <f>VLOOKUP($A$2,'Circuit Data'!$A$2:$ED$15,106,)</f>
        <v>143</v>
      </c>
      <c r="L23" s="3">
        <f>VLOOKUP($A$2,'Circuit Data'!$A$2:$ED$15,105,)</f>
        <v>117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205</v>
      </c>
      <c r="H24" s="3">
        <f>VLOOKUP($A$2,'Circuit Data'!$A$2:$ED$15,115,)</f>
        <v>191</v>
      </c>
      <c r="I24" s="3">
        <f>VLOOKUP($A$2,'Circuit Data'!$A$2:$ED$15,114,)</f>
        <v>218</v>
      </c>
      <c r="J24" s="3">
        <f>VLOOKUP($A$2,'Circuit Data'!$A$2:$ED$15,113,)</f>
        <v>277</v>
      </c>
      <c r="K24" s="3">
        <f>VLOOKUP($A$2,'Circuit Data'!$A$2:$ED$15,112,)</f>
        <v>270</v>
      </c>
      <c r="L24" s="3">
        <f>VLOOKUP($A$2,'Circuit Data'!$A$2:$ED$15,111,)</f>
        <v>218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200</v>
      </c>
      <c r="H25" s="3">
        <f>VLOOKUP($A$2,'Circuit Data'!$A$2:$ED$15,121,)</f>
        <v>186</v>
      </c>
      <c r="I25" s="3">
        <f>VLOOKUP($A$2,'Circuit Data'!$A$2:$ED$15,120,)</f>
        <v>211</v>
      </c>
      <c r="J25" s="3">
        <f>VLOOKUP($A$2,'Circuit Data'!$A$2:$ED$15,119,)</f>
        <v>272</v>
      </c>
      <c r="K25" s="3">
        <f>VLOOKUP($A$2,'Circuit Data'!$A$2:$ED$15,118,)</f>
        <v>265</v>
      </c>
      <c r="L25" s="3">
        <f>VLOOKUP($A$2,'Circuit Data'!$A$2:$ED$15,117,)</f>
        <v>213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5</v>
      </c>
      <c r="H26" s="3">
        <f>VLOOKUP($A$2,'Circuit Data'!$A$2:$ED$15,127,)</f>
        <v>5</v>
      </c>
      <c r="I26" s="3">
        <f>VLOOKUP($A$2,'Circuit Data'!$A$2:$ED$15,126,)</f>
        <v>7</v>
      </c>
      <c r="J26" s="3">
        <f>VLOOKUP($A$2,'Circuit Data'!$A$2:$ED$15,125,)</f>
        <v>5</v>
      </c>
      <c r="K26" s="3">
        <f>VLOOKUP($A$2,'Circuit Data'!$A$2:$ED$15,124,)</f>
        <v>5</v>
      </c>
      <c r="L26" s="3">
        <f>VLOOKUP($A$2,'Circuit Data'!$A$2:$ED$15,123,)</f>
        <v>5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 t="str">
        <f>VLOOKUP($A$2,'Circuit Data'!$A$2:$ED$15,134,)</f>
        <v>-</v>
      </c>
      <c r="H27" s="3" t="str">
        <f>VLOOKUP($A$2,'Circuit Data'!$A$2:$ED$15,133,)</f>
        <v>-</v>
      </c>
      <c r="I27" s="3" t="str">
        <f>VLOOKUP($A$2,'Circuit Data'!$A$2:$ED$15,132,)</f>
        <v>-</v>
      </c>
      <c r="J27" s="3" t="str">
        <f>VLOOKUP($A$2,'Circuit Data'!$A$2:$ED$15,131,)</f>
        <v>-</v>
      </c>
      <c r="K27" s="3" t="str">
        <f>VLOOKUP($A$2,'Circuit Data'!$A$2:$ED$15,130,)</f>
        <v>-</v>
      </c>
      <c r="L27" s="3" t="str">
        <f>VLOOKUP($A$2,'Circuit Data'!$A$2:$ED$15,129,)</f>
        <v>-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SECOND CIRCUIT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13/4.3</v>
      </c>
      <c r="H34" s="3" t="str">
        <f>VLOOKUP($A$2,'Circuit Data2'!$A$2:$EP$15,12,)&amp;"/"&amp;TEXT(VLOOKUP($A$2,'Circuit Data2'!$A$2:$EP$15,13,),"0.0")</f>
        <v>13/4.3</v>
      </c>
      <c r="I34" s="3" t="str">
        <f>VLOOKUP($A$2,'Circuit Data2'!$A$2:$EP$15,10,)&amp;"/"&amp;TEXT(VLOOKUP($A$2,'Circuit Data2'!$A$2:$EP$15,11,),"0.0")</f>
        <v>13/4.3</v>
      </c>
      <c r="J34" s="3" t="str">
        <f>VLOOKUP($A$2,'Circuit Data2'!$A$2:$EP$15,8,)&amp;"/"&amp;TEXT(VLOOKUP($A$2,'Circuit Data2'!$A$2:$EP$15,9,),"0.0")</f>
        <v>13/4.3</v>
      </c>
      <c r="K34" s="3" t="str">
        <f>VLOOKUP($A$2,'Circuit Data2'!$A$2:$EP$15,6,)&amp;"/"&amp;TEXT(VLOOKUP($A$2,'Circuit Data2'!$A$2:$EP$15,7,),"0.0")</f>
        <v>13/4.3</v>
      </c>
      <c r="L34" s="3" t="str">
        <f>VLOOKUP($A$2,'Circuit Data2'!$A$2:$EP$15,4,)&amp;"/"&amp;TEXT(VLOOKUP($A$2,'Circuit Data2'!$A$2:$EP$15,5,),"0.0")</f>
        <v>13/4.3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9</v>
      </c>
      <c r="H35" s="3">
        <f>VLOOKUP($A$2,'Circuit Data2'!$A$2:$EP$15,20,)</f>
        <v>11</v>
      </c>
      <c r="I35" s="3">
        <f>VLOOKUP($A$2,'Circuit Data2'!$A$2:$EP$15,19,)</f>
        <v>12</v>
      </c>
      <c r="J35" s="3">
        <f>VLOOKUP($A$2,'Circuit Data2'!$A$2:$EP$15,18,)</f>
        <v>12</v>
      </c>
      <c r="K35" s="3">
        <f>VLOOKUP($A$2,'Circuit Data2'!$A$2:$EP$15,17,)</f>
        <v>12</v>
      </c>
      <c r="L35" s="3">
        <f>VLOOKUP($A$2,'Circuit Data2'!$A$2:$EP$15,16,)</f>
        <v>13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7.2</v>
      </c>
      <c r="H36" s="17">
        <f>VLOOKUP($A$2,'Circuit Data2'!$A$2:$EP$15,26,)</f>
        <v>2.5</v>
      </c>
      <c r="I36" s="17">
        <f>VLOOKUP($A$2,'Circuit Data2'!$A$2:$EP$15,25,)</f>
        <v>17.399999999999999</v>
      </c>
      <c r="J36" s="17">
        <f>VLOOKUP($A$2,'Circuit Data2'!$A$2:$EP$15,24,)</f>
        <v>42.3</v>
      </c>
      <c r="K36" s="17">
        <f>VLOOKUP($A$2,'Circuit Data2'!$A$2:$EP$15,23,)</f>
        <v>39.200000000000003</v>
      </c>
      <c r="L36" s="17">
        <f>VLOOKUP($A$2,'Circuit Data2'!$A$2:$EP$15,22,)</f>
        <v>15.3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1462</v>
      </c>
      <c r="H37" s="3">
        <f>VLOOKUP($A$2,'Circuit Data2'!$A$2:$EP$15,32,)</f>
        <v>1593</v>
      </c>
      <c r="I37" s="3">
        <f>VLOOKUP($A$2,'Circuit Data2'!$A$2:$EP$15,31,)</f>
        <v>1326</v>
      </c>
      <c r="J37" s="3">
        <f>VLOOKUP($A$2,'Circuit Data2'!$A$2:$EP$15,30,)</f>
        <v>1239</v>
      </c>
      <c r="K37" s="3">
        <f>VLOOKUP($A$2,'Circuit Data2'!$A$2:$EP$15,29,)</f>
        <v>1260</v>
      </c>
      <c r="L37" s="3">
        <f>VLOOKUP($A$2,'Circuit Data2'!$A$2:$EP$15,28,)</f>
        <v>1306</v>
      </c>
      <c r="M37" s="16">
        <f>VLOOKUP($A$2,'Circuit Data2'!$A$2:$EP$15,34,)</f>
        <v>3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247</v>
      </c>
      <c r="H38" s="3">
        <f>VLOOKUP($A$2,'Circuit Data2'!$A$2:$EP$15,39,)</f>
        <v>231</v>
      </c>
      <c r="I38" s="3">
        <f>VLOOKUP($A$2,'Circuit Data2'!$A$2:$EP$15,38,)</f>
        <v>196</v>
      </c>
      <c r="J38" s="3">
        <f>VLOOKUP($A$2,'Circuit Data2'!$A$2:$EP$15,37,)</f>
        <v>233</v>
      </c>
      <c r="K38" s="3">
        <f>VLOOKUP($A$2,'Circuit Data2'!$A$2:$EP$15,36,)</f>
        <v>233</v>
      </c>
      <c r="L38" s="3">
        <f>VLOOKUP($A$2,'Circuit Data2'!$A$2:$EP$15,35,)</f>
        <v>233</v>
      </c>
      <c r="M38" s="11">
        <f>VLOOKUP($A$2,'Circuit Data2'!$A$2:$EP$15,41,)</f>
        <v>8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462</v>
      </c>
      <c r="H39" s="3">
        <f>VLOOKUP($A$2,'Circuit Data2'!$A$2:$EP$15,46,)</f>
        <v>459</v>
      </c>
      <c r="I39" s="3">
        <f>VLOOKUP($A$2,'Circuit Data2'!$A$2:$EP$15,45,)</f>
        <v>521</v>
      </c>
      <c r="J39" s="3">
        <f>VLOOKUP($A$2,'Circuit Data2'!$A$2:$EP$15,44,)</f>
        <v>505</v>
      </c>
      <c r="K39" s="3">
        <f>VLOOKUP($A$2,'Circuit Data2'!$A$2:$EP$15,43,)</f>
        <v>515</v>
      </c>
      <c r="L39" s="3">
        <f>VLOOKUP($A$2,'Circuit Data2'!$A$2:$EP$15,42,)</f>
        <v>537</v>
      </c>
      <c r="M39" s="12">
        <f>VLOOKUP($A$2,'Circuit Data2'!$A$2:$EP$15,48,)</f>
        <v>2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229</v>
      </c>
      <c r="H40" s="3">
        <f>VLOOKUP($A$2,'Circuit Data2'!$A$2:$EP$15,53,)</f>
        <v>213</v>
      </c>
      <c r="I40" s="3">
        <f>VLOOKUP($A$2,'Circuit Data2'!$A$2:$EP$15,52,)</f>
        <v>216</v>
      </c>
      <c r="J40" s="3">
        <f>VLOOKUP($A$2,'Circuit Data2'!$A$2:$EP$15,51,)</f>
        <v>188</v>
      </c>
      <c r="K40" s="14">
        <f>VLOOKUP($A$2,'Circuit Data2'!$A$2:$EP$15,50,)</f>
        <v>191</v>
      </c>
      <c r="L40" s="3">
        <f>VLOOKUP($A$2,'Circuit Data2'!$A$2:$EP$15,49,)</f>
        <v>191</v>
      </c>
      <c r="M40" s="12">
        <f>VLOOKUP($A$2,'Circuit Data2'!$A$2:$EP$15,55,)</f>
        <v>7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524</v>
      </c>
      <c r="H41" s="3">
        <f>VLOOKUP($A$2,'Circuit Data2'!$A$2:$EP$15,60,)</f>
        <v>690</v>
      </c>
      <c r="I41" s="3">
        <f>VLOOKUP($A$2,'Circuit Data2'!$A$2:$EP$15,59,)</f>
        <v>393</v>
      </c>
      <c r="J41" s="3">
        <f>VLOOKUP($A$2,'Circuit Data2'!$A$2:$EP$15,58,)</f>
        <v>313</v>
      </c>
      <c r="K41" s="3">
        <f>VLOOKUP($A$2,'Circuit Data2'!$A$2:$EP$15,57,)</f>
        <v>321</v>
      </c>
      <c r="L41" s="3">
        <f>VLOOKUP($A$2,'Circuit Data2'!$A$2:$EP$15,56,)</f>
        <v>345</v>
      </c>
      <c r="M41" s="12">
        <f>VLOOKUP($A$2,'Circuit Data2'!$A$2:$EP$15,62,)</f>
        <v>1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1668</v>
      </c>
      <c r="H42" s="3">
        <f>VLOOKUP($A$2,'Circuit Data2'!$A$2:$EP$15,67,)</f>
        <v>1485</v>
      </c>
      <c r="I42" s="3">
        <f>VLOOKUP($A$2,'Circuit Data2'!$A$2:$EP$15,66,)</f>
        <v>1573</v>
      </c>
      <c r="J42" s="3">
        <f>VLOOKUP($A$2,'Circuit Data2'!$A$2:$EP$15,65,)</f>
        <v>1454</v>
      </c>
      <c r="K42" s="3">
        <f>VLOOKUP($A$2,'Circuit Data2'!$A$2:$EP$15,64,)</f>
        <v>1329</v>
      </c>
      <c r="L42" s="3">
        <f>VLOOKUP($A$2,'Circuit Data2'!$A$2:$EP$15,63,)</f>
        <v>1194</v>
      </c>
      <c r="M42" s="13">
        <f>VLOOKUP($A$2,'Circuit Data2'!$A$2:$EP$15,69,)</f>
        <v>4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93</v>
      </c>
      <c r="H43" s="15">
        <f>VLOOKUP($A$2,'Circuit Data2'!$A$2:$EP$15,74,)</f>
        <v>90</v>
      </c>
      <c r="I43" s="3">
        <f>VLOOKUP($A$2,'Circuit Data2'!$A$2:$EP$15,73,)</f>
        <v>81</v>
      </c>
      <c r="J43" s="3">
        <f>VLOOKUP($A$2,'Circuit Data2'!$A$2:$EP$15,72,)</f>
        <v>120</v>
      </c>
      <c r="K43" s="3">
        <f>VLOOKUP($A$2,'Circuit Data2'!$A$2:$EP$15,71,)</f>
        <v>78</v>
      </c>
      <c r="L43" s="3">
        <f>VLOOKUP($A$2,'Circuit Data2'!$A$2:$EP$15,70,)</f>
        <v>70</v>
      </c>
      <c r="M43" s="13">
        <f>VLOOKUP($A$2,'Circuit Data2'!$A$2:$EP$15,76,)</f>
        <v>1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909</v>
      </c>
      <c r="H44" s="3">
        <f>VLOOKUP($A$2,'Circuit Data2'!$A$2:$EP$15,81,)</f>
        <v>735</v>
      </c>
      <c r="I44" s="3">
        <f>VLOOKUP($A$2,'Circuit Data2'!$A$2:$EP$15,80,)</f>
        <v>747</v>
      </c>
      <c r="J44" s="3">
        <f>VLOOKUP($A$2,'Circuit Data2'!$A$2:$EP$15,79,)</f>
        <v>572</v>
      </c>
      <c r="K44" s="3">
        <f>VLOOKUP($A$2,'Circuit Data2'!$A$2:$EP$15,78,)</f>
        <v>519</v>
      </c>
      <c r="L44" s="3">
        <f>VLOOKUP($A$2,'Circuit Data2'!$A$2:$EP$15,77,)</f>
        <v>512</v>
      </c>
      <c r="M44" s="13">
        <f>VLOOKUP($A$2,'Circuit Data2'!$A$2:$EP$15,83,)</f>
        <v>4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666</v>
      </c>
      <c r="H45" s="3">
        <f>VLOOKUP($A$2,'Circuit Data2'!$A$2:$EP$15,88,)</f>
        <v>660</v>
      </c>
      <c r="I45" s="3">
        <f>VLOOKUP($A$2,'Circuit Data2'!$A$2:$EP$15,87,)</f>
        <v>745</v>
      </c>
      <c r="J45" s="3">
        <f>VLOOKUP($A$2,'Circuit Data2'!$A$2:$EP$15,86,)</f>
        <v>762</v>
      </c>
      <c r="K45" s="3">
        <f>VLOOKUP($A$2,'Circuit Data2'!$A$2:$EP$15,85,)</f>
        <v>732</v>
      </c>
      <c r="L45" s="3">
        <f>VLOOKUP($A$2,'Circuit Data2'!$A$2:$EP$15,84,)</f>
        <v>682</v>
      </c>
      <c r="M45" s="13">
        <f>VLOOKUP($A$2,'Circuit Data2'!$A$2:$EP$15,90,)</f>
        <v>5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40</v>
      </c>
      <c r="H46" s="3">
        <f>VLOOKUP($A$2,'Circuit Data2'!$A$2:$EP$15,95,)</f>
        <v>37</v>
      </c>
      <c r="I46" s="3">
        <f>VLOOKUP($A$2,'Circuit Data2'!$A$2:$EP$15,94,)</f>
        <v>36</v>
      </c>
      <c r="J46" s="3">
        <f>VLOOKUP($A$2,'Circuit Data2'!$A$2:$EP$15,93,)</f>
        <v>58</v>
      </c>
      <c r="K46" s="3">
        <f>VLOOKUP($A$2,'Circuit Data2'!$A$2:$EP$15,92,)</f>
        <v>61</v>
      </c>
      <c r="L46" s="3">
        <f>VLOOKUP($A$2,'Circuit Data2'!$A$2:$EP$15,91,)</f>
        <v>90</v>
      </c>
      <c r="M46" s="11">
        <f>VLOOKUP($A$2,'Circuit Data2'!$A$2:$EP$15,97,)</f>
        <v>8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195</v>
      </c>
      <c r="H47" s="3">
        <f>VLOOKUP($A$2,'Circuit Data2'!$A$2:$EP$15,102,)</f>
        <v>183</v>
      </c>
      <c r="I47" s="3">
        <f>VLOOKUP($A$2,'Circuit Data2'!$A$2:$EP$15,101,)</f>
        <v>250</v>
      </c>
      <c r="J47" s="3">
        <f>VLOOKUP($A$2,'Circuit Data2'!$A$2:$EP$15,100,)</f>
        <v>303</v>
      </c>
      <c r="K47" s="3">
        <f>VLOOKUP($A$2,'Circuit Data2'!$A$2:$EP$15,99,)</f>
        <v>278</v>
      </c>
      <c r="L47" s="15">
        <f>VLOOKUP($A$2,'Circuit Data2'!$A$2:$EP$15,98,)</f>
        <v>279</v>
      </c>
      <c r="M47" s="13">
        <f>VLOOKUP($A$2,'Circuit Data2'!$A$2:$EP$15,104,)</f>
        <v>2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92</v>
      </c>
      <c r="H48" s="3">
        <f>VLOOKUP($A$2,'Circuit Data2'!$A$2:$EP$15,109,)</f>
        <v>159</v>
      </c>
      <c r="I48" s="3">
        <f>VLOOKUP($A$2,'Circuit Data2'!$A$2:$EP$15,108,)</f>
        <v>130</v>
      </c>
      <c r="J48" s="3">
        <f>VLOOKUP($A$2,'Circuit Data2'!$A$2:$EP$15,107,)</f>
        <v>132</v>
      </c>
      <c r="K48" s="3">
        <f>VLOOKUP($A$2,'Circuit Data2'!$A$2:$EP$15,106,)</f>
        <v>138</v>
      </c>
      <c r="L48" s="3">
        <f>VLOOKUP($A$2,'Circuit Data2'!$A$2:$EP$15,105,)</f>
        <v>136</v>
      </c>
      <c r="M48" s="13">
        <f>VLOOKUP($A$2,'Circuit Data2'!$A$2:$EP$15,111,)</f>
        <v>7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339</v>
      </c>
      <c r="H49" s="3">
        <f>VLOOKUP($A$2,'Circuit Data2'!$A$2:$EP$15,116,)</f>
        <v>281</v>
      </c>
      <c r="I49" s="3">
        <f>VLOOKUP($A$2,'Circuit Data2'!$A$2:$EP$15,115,)</f>
        <v>329</v>
      </c>
      <c r="J49" s="3">
        <f>VLOOKUP($A$2,'Circuit Data2'!$A$2:$EP$15,114,)</f>
        <v>269</v>
      </c>
      <c r="K49" s="3">
        <f>VLOOKUP($A$2,'Circuit Data2'!$A$2:$EP$15,113,)</f>
        <v>255</v>
      </c>
      <c r="L49" s="3">
        <f>VLOOKUP($A$2,'Circuit Data2'!$A$2:$EP$15,112,)</f>
        <v>177</v>
      </c>
      <c r="M49" s="13">
        <f>VLOOKUP($A$2,'Circuit Data2'!$A$2:$EP$15,118,)</f>
        <v>2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1488</v>
      </c>
      <c r="H50" s="3">
        <f>VLOOKUP($A$2,'Circuit Data2'!$A$2:$EP$15,123,)</f>
        <v>1380</v>
      </c>
      <c r="I50" s="3">
        <f>VLOOKUP($A$2,'Circuit Data2'!$A$2:$EP$15,122,)</f>
        <v>1176</v>
      </c>
      <c r="J50" s="3">
        <f>VLOOKUP($A$2,'Circuit Data2'!$A$2:$EP$15,121,)</f>
        <v>974</v>
      </c>
      <c r="K50" s="3">
        <f>VLOOKUP($A$2,'Circuit Data2'!$A$2:$EP$15,120,)</f>
        <v>1011</v>
      </c>
      <c r="L50" s="3">
        <f>VLOOKUP($A$2,'Circuit Data2'!$A$2:$EP$15,119,)</f>
        <v>1125</v>
      </c>
      <c r="M50" s="13">
        <f>VLOOKUP($A$2,'Circuit Data2'!$A$2:$EP$15,125,)</f>
        <v>2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13.4</v>
      </c>
      <c r="H51" s="10">
        <f>VLOOKUP($A$2,'Circuit Data2'!$A$2:$EP$15,130,)</f>
        <v>17.5</v>
      </c>
      <c r="I51" s="5">
        <f>VLOOKUP($A$2,'Circuit Data2'!$A$2:$EP$15,129,)</f>
        <v>16.899999999999999</v>
      </c>
      <c r="J51" s="5">
        <f>VLOOKUP($A$2,'Circuit Data2'!$A$2:$EP$15,128,)</f>
        <v>13.3</v>
      </c>
      <c r="K51" s="5">
        <f>VLOOKUP($A$2,'Circuit Data2'!$A$2:$EP$15,127,)</f>
        <v>12.6</v>
      </c>
      <c r="L51" s="5">
        <f>VLOOKUP($A$2,'Circuit Data2'!$A$2:$EP$15,126,)</f>
        <v>12.1</v>
      </c>
      <c r="M51" s="12">
        <f>VLOOKUP($A$2,'Circuit Data2'!$A$2:$EP$15,132,)</f>
        <v>10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3</v>
      </c>
      <c r="H52" s="3">
        <f>VLOOKUP($A$2,'Circuit Data2'!$A$2:$EP$15,137,)</f>
        <v>2</v>
      </c>
      <c r="I52" s="3">
        <f>VLOOKUP($A$2,'Circuit Data2'!$A$2:$EP$15,136,)</f>
        <v>2</v>
      </c>
      <c r="J52" s="3">
        <f>VLOOKUP($A$2,'Circuit Data2'!$A$2:$EP$15,135,)</f>
        <v>1</v>
      </c>
      <c r="K52" s="3">
        <f>VLOOKUP($A$2,'Circuit Data2'!$A$2:$EP$15,134,)</f>
        <v>1</v>
      </c>
      <c r="L52" s="3">
        <f>VLOOKUP($A$2,'Circuit Data2'!$A$2:$EP$15,133,)</f>
        <v>1</v>
      </c>
      <c r="M52" s="11">
        <f>VLOOKUP($A$2,'Circuit Data2'!$A$2:$EP$15,139,)</f>
        <v>8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41</v>
      </c>
      <c r="H53" s="3">
        <f>VLOOKUP($A$2,'Circuit Data2'!$A$2:$EP$15,144,)</f>
        <v>45</v>
      </c>
      <c r="I53" s="3">
        <f>VLOOKUP($A$2,'Circuit Data2'!$A$2:$EP$15,143,)</f>
        <v>53</v>
      </c>
      <c r="J53" s="3">
        <f>VLOOKUP($A$2,'Circuit Data2'!$A$2:$EP$15,142,)</f>
        <v>58</v>
      </c>
      <c r="K53" s="3">
        <f>VLOOKUP($A$2,'Circuit Data2'!$A$2:$EP$15,141,)</f>
        <v>52</v>
      </c>
      <c r="L53" s="3">
        <f>VLOOKUP($A$2,'Circuit Data2'!$A$2:$EP$15,140,)</f>
        <v>26</v>
      </c>
      <c r="M53" s="11">
        <f>VLOOKUP($A$2,'Circuit Data2'!$A$2:$EP$15,146,)</f>
        <v>12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233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3924</v>
      </c>
      <c r="H5" s="3">
        <f>VLOOKUP($A$2,'Circuit Data'!$A$2:$ED$15,7,)</f>
        <v>4054</v>
      </c>
      <c r="I5" s="3">
        <f>VLOOKUP($A$2,'Circuit Data'!$A$2:$ED$15,6,)</f>
        <v>3750</v>
      </c>
      <c r="J5" s="3">
        <f>VLOOKUP($A$2,'Circuit Data'!$A$2:$ED$15,5,)</f>
        <v>3951</v>
      </c>
      <c r="K5" s="3">
        <f>VLOOKUP($A$2,'Circuit Data'!$A$2:$ED$15,4,)</f>
        <v>3885</v>
      </c>
      <c r="L5" s="3">
        <f>VLOOKUP($A$2,'Circuit Data'!$A$2:$ED$15,3,)</f>
        <v>3722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1133</v>
      </c>
      <c r="H6" s="3">
        <f>VLOOKUP($A$2,'Circuit Data'!$A$2:$ED$15,13,)</f>
        <v>1096</v>
      </c>
      <c r="I6" s="3">
        <f>VLOOKUP($A$2,'Circuit Data'!$A$2:$ED$15,12,)</f>
        <v>900</v>
      </c>
      <c r="J6" s="3">
        <f>VLOOKUP($A$2,'Circuit Data'!$A$2:$ED$15,11,)</f>
        <v>1121</v>
      </c>
      <c r="K6" s="3">
        <f>VLOOKUP($A$2,'Circuit Data'!$A$2:$ED$15,10,)</f>
        <v>1127</v>
      </c>
      <c r="L6" s="3">
        <f>VLOOKUP($A$2,'Circuit Data'!$A$2:$ED$15,9,)</f>
        <v>1082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1426</v>
      </c>
      <c r="H7" s="3">
        <f>VLOOKUP($A$2,'Circuit Data'!$A$2:$ED$15,19,)</f>
        <v>1487</v>
      </c>
      <c r="I7" s="3">
        <f>VLOOKUP($A$2,'Circuit Data'!$A$2:$ED$15,18,)</f>
        <v>1389</v>
      </c>
      <c r="J7" s="3">
        <f>VLOOKUP($A$2,'Circuit Data'!$A$2:$ED$15,17,)</f>
        <v>1593</v>
      </c>
      <c r="K7" s="3">
        <f>VLOOKUP($A$2,'Circuit Data'!$A$2:$ED$15,16,)</f>
        <v>1608</v>
      </c>
      <c r="L7" s="3">
        <f>VLOOKUP($A$2,'Circuit Data'!$A$2:$ED$15,15,)</f>
        <v>1461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700</v>
      </c>
      <c r="H8" s="3">
        <f>VLOOKUP($A$2,'Circuit Data'!$A$2:$ED$15,25,)</f>
        <v>870</v>
      </c>
      <c r="I8" s="3">
        <f>VLOOKUP($A$2,'Circuit Data'!$A$2:$ED$15,24,)</f>
        <v>807</v>
      </c>
      <c r="J8" s="3">
        <f>VLOOKUP($A$2,'Circuit Data'!$A$2:$ED$15,23,)</f>
        <v>695</v>
      </c>
      <c r="K8" s="3">
        <f>VLOOKUP($A$2,'Circuit Data'!$A$2:$ED$15,22,)</f>
        <v>675</v>
      </c>
      <c r="L8" s="3">
        <f>VLOOKUP($A$2,'Circuit Data'!$A$2:$ED$15,21,)</f>
        <v>721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665</v>
      </c>
      <c r="H9" s="3">
        <f>VLOOKUP($A$2,'Circuit Data'!$A$2:$ED$15,31,)</f>
        <v>601</v>
      </c>
      <c r="I9" s="3">
        <f>VLOOKUP($A$2,'Circuit Data'!$A$2:$ED$15,30,)</f>
        <v>654</v>
      </c>
      <c r="J9" s="3">
        <f>VLOOKUP($A$2,'Circuit Data'!$A$2:$ED$15,29,)</f>
        <v>542</v>
      </c>
      <c r="K9" s="3">
        <f>VLOOKUP($A$2,'Circuit Data'!$A$2:$ED$15,28,)</f>
        <v>475</v>
      </c>
      <c r="L9" s="3">
        <f>VLOOKUP($A$2,'Circuit Data'!$A$2:$ED$15,27,)</f>
        <v>458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-4.2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-5.2</v>
      </c>
      <c r="H11" s="5">
        <f>VLOOKUP($A$2,'Circuit Data'!$A$2:$ED$15,37,)</f>
        <v>-8.1999999999999993</v>
      </c>
      <c r="I11" s="5">
        <f>VLOOKUP($A$2,'Circuit Data'!$A$2:$ED$15,36,)</f>
        <v>-0.8</v>
      </c>
      <c r="J11" s="5">
        <f>VLOOKUP($A$2,'Circuit Data'!$A$2:$ED$15,35,)</f>
        <v>-5.8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4066</v>
      </c>
      <c r="H12" s="9">
        <f>VLOOKUP($A$2,'Circuit Data'!$A$2:$ED$15,43,)</f>
        <v>3990</v>
      </c>
      <c r="I12" s="3">
        <f>VLOOKUP($A$2,'Circuit Data'!$A$2:$ED$15,42,)</f>
        <v>3997</v>
      </c>
      <c r="J12" s="3">
        <f>VLOOKUP($A$2,'Circuit Data'!$A$2:$ED$15,41,)</f>
        <v>4235</v>
      </c>
      <c r="K12" s="3">
        <f>VLOOKUP($A$2,'Circuit Data'!$A$2:$ED$15,40,)</f>
        <v>4252</v>
      </c>
      <c r="L12" s="3">
        <f>VLOOKUP($A$2,'Circuit Data'!$A$2:$ED$15,39,)</f>
        <v>4158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45</v>
      </c>
      <c r="H13" s="3">
        <f>VLOOKUP($A$2,'Circuit Data'!$A$2:$ED$15,49,)</f>
        <v>38</v>
      </c>
      <c r="I13" s="3">
        <f>VLOOKUP($A$2,'Circuit Data'!$A$2:$ED$15,48,)</f>
        <v>29</v>
      </c>
      <c r="J13" s="3">
        <f>VLOOKUP($A$2,'Circuit Data'!$A$2:$ED$15,47,)</f>
        <v>68</v>
      </c>
      <c r="K13" s="3">
        <f>VLOOKUP($A$2,'Circuit Data'!$A$2:$ED$15,46,)</f>
        <v>63</v>
      </c>
      <c r="L13" s="3">
        <f>VLOOKUP($A$2,'Circuit Data'!$A$2:$ED$15,45,)</f>
        <v>59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1770</v>
      </c>
      <c r="H14" s="3">
        <f>VLOOKUP($A$2,'Circuit Data'!$A$2:$ED$15,55,)</f>
        <v>1652</v>
      </c>
      <c r="I14" s="3">
        <f>VLOOKUP($A$2,'Circuit Data'!$A$2:$ED$15,54,)</f>
        <v>1635</v>
      </c>
      <c r="J14" s="3">
        <f>VLOOKUP($A$2,'Circuit Data'!$A$2:$ED$15,53,)</f>
        <v>1684</v>
      </c>
      <c r="K14" s="3">
        <f>VLOOKUP($A$2,'Circuit Data'!$A$2:$ED$15,52,)</f>
        <v>1752</v>
      </c>
      <c r="L14" s="3">
        <f>VLOOKUP($A$2,'Circuit Data'!$A$2:$ED$15,51,)</f>
        <v>1577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2251</v>
      </c>
      <c r="H15" s="3">
        <f>VLOOKUP($A$2,'Circuit Data'!$A$2:$ED$15,61,)</f>
        <v>2300</v>
      </c>
      <c r="I15" s="3">
        <f>VLOOKUP($A$2,'Circuit Data'!$A$2:$ED$15,60,)</f>
        <v>2333</v>
      </c>
      <c r="J15" s="3">
        <f>VLOOKUP($A$2,'Circuit Data'!$A$2:$ED$15,59,)</f>
        <v>2483</v>
      </c>
      <c r="K15" s="3">
        <f>VLOOKUP($A$2,'Circuit Data'!$A$2:$ED$15,58,)</f>
        <v>2437</v>
      </c>
      <c r="L15" s="3">
        <f>VLOOKUP($A$2,'Circuit Data'!$A$2:$ED$15,57,)</f>
        <v>2581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363</v>
      </c>
      <c r="H16" s="3">
        <f>VLOOKUP($A$2,'Circuit Data'!$A$2:$ED$15,67,)</f>
        <v>341</v>
      </c>
      <c r="I16" s="3">
        <f>VLOOKUP($A$2,'Circuit Data'!$A$2:$ED$15,66,)</f>
        <v>317</v>
      </c>
      <c r="J16" s="3">
        <f>VLOOKUP($A$2,'Circuit Data'!$A$2:$ED$15,65,)</f>
        <v>313</v>
      </c>
      <c r="K16" s="3">
        <f>VLOOKUP($A$2,'Circuit Data'!$A$2:$ED$15,64,)</f>
        <v>314</v>
      </c>
      <c r="L16" s="3">
        <f>VLOOKUP($A$2,'Circuit Data'!$A$2:$ED$15,63,)</f>
        <v>521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932</v>
      </c>
      <c r="H17" s="3">
        <f>VLOOKUP($A$2,'Circuit Data'!$A$2:$ED$15,73,)</f>
        <v>838</v>
      </c>
      <c r="I17" s="3">
        <f>VLOOKUP($A$2,'Circuit Data'!$A$2:$ED$15,72,)</f>
        <v>921</v>
      </c>
      <c r="J17" s="3">
        <f>VLOOKUP($A$2,'Circuit Data'!$A$2:$ED$15,71,)</f>
        <v>951</v>
      </c>
      <c r="K17" s="3">
        <f>VLOOKUP($A$2,'Circuit Data'!$A$2:$ED$15,70,)</f>
        <v>942</v>
      </c>
      <c r="L17" s="3">
        <f>VLOOKUP($A$2,'Circuit Data'!$A$2:$ED$15,69,)</f>
        <v>1004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551</v>
      </c>
      <c r="H18" s="3">
        <f>VLOOKUP($A$2,'Circuit Data'!$A$2:$ED$15,79,)</f>
        <v>600</v>
      </c>
      <c r="I18" s="3">
        <f>VLOOKUP($A$2,'Circuit Data'!$A$2:$ED$15,78,)</f>
        <v>750</v>
      </c>
      <c r="J18" s="3">
        <f>VLOOKUP($A$2,'Circuit Data'!$A$2:$ED$15,77,)</f>
        <v>691</v>
      </c>
      <c r="K18" s="3">
        <f>VLOOKUP($A$2,'Circuit Data'!$A$2:$ED$15,76,)</f>
        <v>679</v>
      </c>
      <c r="L18" s="3">
        <f>VLOOKUP($A$2,'Circuit Data'!$A$2:$ED$15,75,)</f>
        <v>630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405</v>
      </c>
      <c r="H19" s="3">
        <f>VLOOKUP($A$2,'Circuit Data'!$A$2:$ED$15,85,)</f>
        <v>521</v>
      </c>
      <c r="I19" s="3">
        <f>VLOOKUP($A$2,'Circuit Data'!$A$2:$ED$15,84,)</f>
        <v>345</v>
      </c>
      <c r="J19" s="3">
        <f>VLOOKUP($A$2,'Circuit Data'!$A$2:$ED$15,83,)</f>
        <v>528</v>
      </c>
      <c r="K19" s="3">
        <f>VLOOKUP($A$2,'Circuit Data'!$A$2:$ED$15,82,)</f>
        <v>502</v>
      </c>
      <c r="L19" s="3">
        <f>VLOOKUP($A$2,'Circuit Data'!$A$2:$ED$15,81,)</f>
        <v>426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66.8</v>
      </c>
      <c r="H20" s="5">
        <f>VLOOKUP($A$2,'Circuit Data'!$A$2:$ED$15,91,)</f>
        <v>72.400000000000006</v>
      </c>
      <c r="I20" s="5">
        <f>VLOOKUP($A$2,'Circuit Data'!$A$2:$ED$15,90,)</f>
        <v>71.599999999999994</v>
      </c>
      <c r="J20" s="5">
        <f>VLOOKUP($A$2,'Circuit Data'!$A$2:$ED$15,89,)</f>
        <v>74.2</v>
      </c>
      <c r="K20" s="5">
        <f>VLOOKUP($A$2,'Circuit Data'!$A$2:$ED$15,88,)</f>
        <v>75.5</v>
      </c>
      <c r="L20" s="5">
        <f>VLOOKUP($A$2,'Circuit Data'!$A$2:$ED$15,87,)</f>
        <v>74.3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3699</v>
      </c>
      <c r="H21" s="3">
        <f>VLOOKUP($A$2,'Circuit Data'!$A$2:$ED$15,97,)</f>
        <v>3771</v>
      </c>
      <c r="I21" s="3">
        <f>VLOOKUP($A$2,'Circuit Data'!$A$2:$ED$15,96,)</f>
        <v>3400</v>
      </c>
      <c r="J21" s="3">
        <f>VLOOKUP($A$2,'Circuit Data'!$A$2:$ED$15,95,)</f>
        <v>3117</v>
      </c>
      <c r="K21" s="3">
        <f>VLOOKUP($A$2,'Circuit Data'!$A$2:$ED$15,94,)</f>
        <v>2894</v>
      </c>
      <c r="L21" s="3">
        <f>VLOOKUP($A$2,'Circuit Data'!$A$2:$ED$15,93,)</f>
        <v>2434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423</v>
      </c>
      <c r="H22" s="3">
        <f>VLOOKUP($A$2,'Circuit Data'!$A$2:$ED$15,103,)</f>
        <v>418</v>
      </c>
      <c r="I22" s="3">
        <f>VLOOKUP($A$2,'Circuit Data'!$A$2:$ED$15,102,)</f>
        <v>418</v>
      </c>
      <c r="J22" s="3">
        <f>VLOOKUP($A$2,'Circuit Data'!$A$2:$ED$15,101,)</f>
        <v>446</v>
      </c>
      <c r="K22" s="3">
        <f>VLOOKUP($A$2,'Circuit Data'!$A$2:$ED$15,100,)</f>
        <v>428</v>
      </c>
      <c r="L22" s="3">
        <f>VLOOKUP($A$2,'Circuit Data'!$A$2:$ED$15,99,)</f>
        <v>442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194</v>
      </c>
      <c r="H23" s="3">
        <f>VLOOKUP($A$2,'Circuit Data'!$A$2:$ED$15,109,)</f>
        <v>146</v>
      </c>
      <c r="I23" s="3">
        <f>VLOOKUP($A$2,'Circuit Data'!$A$2:$ED$15,108,)</f>
        <v>145</v>
      </c>
      <c r="J23" s="3">
        <f>VLOOKUP($A$2,'Circuit Data'!$A$2:$ED$15,107,)</f>
        <v>138</v>
      </c>
      <c r="K23" s="3">
        <f>VLOOKUP($A$2,'Circuit Data'!$A$2:$ED$15,106,)</f>
        <v>147</v>
      </c>
      <c r="L23" s="3">
        <f>VLOOKUP($A$2,'Circuit Data'!$A$2:$ED$15,105,)</f>
        <v>113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136</v>
      </c>
      <c r="H24" s="3">
        <f>VLOOKUP($A$2,'Circuit Data'!$A$2:$ED$15,115,)</f>
        <v>149</v>
      </c>
      <c r="I24" s="3">
        <f>VLOOKUP($A$2,'Circuit Data'!$A$2:$ED$15,114,)</f>
        <v>143</v>
      </c>
      <c r="J24" s="3">
        <f>VLOOKUP($A$2,'Circuit Data'!$A$2:$ED$15,113,)</f>
        <v>153</v>
      </c>
      <c r="K24" s="3">
        <f>VLOOKUP($A$2,'Circuit Data'!$A$2:$ED$15,112,)</f>
        <v>144</v>
      </c>
      <c r="L24" s="3">
        <f>VLOOKUP($A$2,'Circuit Data'!$A$2:$ED$15,111,)</f>
        <v>133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90</v>
      </c>
      <c r="H25" s="3">
        <f>VLOOKUP($A$2,'Circuit Data'!$A$2:$ED$15,121,)</f>
        <v>97</v>
      </c>
      <c r="I25" s="3">
        <f>VLOOKUP($A$2,'Circuit Data'!$A$2:$ED$15,120,)</f>
        <v>88</v>
      </c>
      <c r="J25" s="3">
        <f>VLOOKUP($A$2,'Circuit Data'!$A$2:$ED$15,119,)</f>
        <v>85</v>
      </c>
      <c r="K25" s="3">
        <f>VLOOKUP($A$2,'Circuit Data'!$A$2:$ED$15,118,)</f>
        <v>81</v>
      </c>
      <c r="L25" s="3">
        <f>VLOOKUP($A$2,'Circuit Data'!$A$2:$ED$15,117,)</f>
        <v>79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40</v>
      </c>
      <c r="H26" s="3">
        <f>VLOOKUP($A$2,'Circuit Data'!$A$2:$ED$15,127,)</f>
        <v>47</v>
      </c>
      <c r="I26" s="3">
        <f>VLOOKUP($A$2,'Circuit Data'!$A$2:$ED$15,126,)</f>
        <v>46</v>
      </c>
      <c r="J26" s="3">
        <f>VLOOKUP($A$2,'Circuit Data'!$A$2:$ED$15,125,)</f>
        <v>56</v>
      </c>
      <c r="K26" s="3">
        <f>VLOOKUP($A$2,'Circuit Data'!$A$2:$ED$15,124,)</f>
        <v>53</v>
      </c>
      <c r="L26" s="3">
        <f>VLOOKUP($A$2,'Circuit Data'!$A$2:$ED$15,123,)</f>
        <v>47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>
        <f>VLOOKUP($A$2,'Circuit Data'!$A$2:$ED$15,134,)</f>
        <v>6</v>
      </c>
      <c r="H27" s="3">
        <f>VLOOKUP($A$2,'Circuit Data'!$A$2:$ED$15,133,)</f>
        <v>5</v>
      </c>
      <c r="I27" s="3">
        <f>VLOOKUP($A$2,'Circuit Data'!$A$2:$ED$15,132,)</f>
        <v>9</v>
      </c>
      <c r="J27" s="3">
        <f>VLOOKUP($A$2,'Circuit Data'!$A$2:$ED$15,131,)</f>
        <v>12</v>
      </c>
      <c r="K27" s="3">
        <f>VLOOKUP($A$2,'Circuit Data'!$A$2:$ED$15,130,)</f>
        <v>10</v>
      </c>
      <c r="L27" s="3">
        <f>VLOOKUP($A$2,'Circuit Data'!$A$2:$ED$15,129,)</f>
        <v>7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THIRD CIRCUIT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14/4.7</v>
      </c>
      <c r="H34" s="3" t="str">
        <f>VLOOKUP($A$2,'Circuit Data2'!$A$2:$EP$15,12,)&amp;"/"&amp;TEXT(VLOOKUP($A$2,'Circuit Data2'!$A$2:$EP$15,13,),"0.0")</f>
        <v>14/4.7</v>
      </c>
      <c r="I34" s="3" t="str">
        <f>VLOOKUP($A$2,'Circuit Data2'!$A$2:$EP$15,10,)&amp;"/"&amp;TEXT(VLOOKUP($A$2,'Circuit Data2'!$A$2:$EP$15,11,),"0.0")</f>
        <v>14/4.7</v>
      </c>
      <c r="J34" s="3" t="str">
        <f>VLOOKUP($A$2,'Circuit Data2'!$A$2:$EP$15,8,)&amp;"/"&amp;TEXT(VLOOKUP($A$2,'Circuit Data2'!$A$2:$EP$15,9,),"0.0")</f>
        <v>14/4.7</v>
      </c>
      <c r="K34" s="3" t="str">
        <f>VLOOKUP($A$2,'Circuit Data2'!$A$2:$EP$15,6,)&amp;"/"&amp;TEXT(VLOOKUP($A$2,'Circuit Data2'!$A$2:$EP$15,7,),"0.0")</f>
        <v>14/4.7</v>
      </c>
      <c r="L34" s="3" t="str">
        <f>VLOOKUP($A$2,'Circuit Data2'!$A$2:$EP$15,4,)&amp;"/"&amp;TEXT(VLOOKUP($A$2,'Circuit Data2'!$A$2:$EP$15,5,),"0.0")</f>
        <v>14/4.7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9</v>
      </c>
      <c r="H35" s="3">
        <f>VLOOKUP($A$2,'Circuit Data2'!$A$2:$EP$15,20,)</f>
        <v>9</v>
      </c>
      <c r="I35" s="3">
        <f>VLOOKUP($A$2,'Circuit Data2'!$A$2:$EP$15,19,)</f>
        <v>9</v>
      </c>
      <c r="J35" s="3">
        <f>VLOOKUP($A$2,'Circuit Data2'!$A$2:$EP$15,18,)</f>
        <v>9</v>
      </c>
      <c r="K35" s="3">
        <f>VLOOKUP($A$2,'Circuit Data2'!$A$2:$EP$15,17,)</f>
        <v>9</v>
      </c>
      <c r="L35" s="3">
        <f>VLOOKUP($A$2,'Circuit Data2'!$A$2:$EP$15,16,)</f>
        <v>10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30.9</v>
      </c>
      <c r="H36" s="17">
        <f>VLOOKUP($A$2,'Circuit Data2'!$A$2:$EP$15,26,)</f>
        <v>24</v>
      </c>
      <c r="I36" s="17">
        <f>VLOOKUP($A$2,'Circuit Data2'!$A$2:$EP$15,25,)</f>
        <v>24</v>
      </c>
      <c r="J36" s="17">
        <f>VLOOKUP($A$2,'Circuit Data2'!$A$2:$EP$15,24,)</f>
        <v>10.9</v>
      </c>
      <c r="K36" s="17">
        <f>VLOOKUP($A$2,'Circuit Data2'!$A$2:$EP$15,23,)</f>
        <v>4.9000000000000004</v>
      </c>
      <c r="L36" s="17">
        <f>VLOOKUP($A$2,'Circuit Data2'!$A$2:$EP$15,22,)</f>
        <v>6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841</v>
      </c>
      <c r="H37" s="3">
        <f>VLOOKUP($A$2,'Circuit Data2'!$A$2:$EP$15,32,)</f>
        <v>869</v>
      </c>
      <c r="I37" s="3">
        <f>VLOOKUP($A$2,'Circuit Data2'!$A$2:$EP$15,31,)</f>
        <v>804</v>
      </c>
      <c r="J37" s="3">
        <f>VLOOKUP($A$2,'Circuit Data2'!$A$2:$EP$15,30,)</f>
        <v>847</v>
      </c>
      <c r="K37" s="3">
        <f>VLOOKUP($A$2,'Circuit Data2'!$A$2:$EP$15,29,)</f>
        <v>833</v>
      </c>
      <c r="L37" s="3">
        <f>VLOOKUP($A$2,'Circuit Data2'!$A$2:$EP$15,28,)</f>
        <v>798</v>
      </c>
      <c r="M37" s="16">
        <f>VLOOKUP($A$2,'Circuit Data2'!$A$2:$EP$15,34,)</f>
        <v>8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243</v>
      </c>
      <c r="H38" s="3">
        <f>VLOOKUP($A$2,'Circuit Data2'!$A$2:$EP$15,39,)</f>
        <v>235</v>
      </c>
      <c r="I38" s="3">
        <f>VLOOKUP($A$2,'Circuit Data2'!$A$2:$EP$15,38,)</f>
        <v>193</v>
      </c>
      <c r="J38" s="3">
        <f>VLOOKUP($A$2,'Circuit Data2'!$A$2:$EP$15,37,)</f>
        <v>240</v>
      </c>
      <c r="K38" s="3">
        <f>VLOOKUP($A$2,'Circuit Data2'!$A$2:$EP$15,36,)</f>
        <v>242</v>
      </c>
      <c r="L38" s="3">
        <f>VLOOKUP($A$2,'Circuit Data2'!$A$2:$EP$15,35,)</f>
        <v>232</v>
      </c>
      <c r="M38" s="11">
        <f>VLOOKUP($A$2,'Circuit Data2'!$A$2:$EP$15,41,)</f>
        <v>9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305</v>
      </c>
      <c r="H39" s="3">
        <f>VLOOKUP($A$2,'Circuit Data2'!$A$2:$EP$15,46,)</f>
        <v>319</v>
      </c>
      <c r="I39" s="3">
        <f>VLOOKUP($A$2,'Circuit Data2'!$A$2:$EP$15,45,)</f>
        <v>298</v>
      </c>
      <c r="J39" s="3">
        <f>VLOOKUP($A$2,'Circuit Data2'!$A$2:$EP$15,44,)</f>
        <v>342</v>
      </c>
      <c r="K39" s="3">
        <f>VLOOKUP($A$2,'Circuit Data2'!$A$2:$EP$15,43,)</f>
        <v>344</v>
      </c>
      <c r="L39" s="3">
        <f>VLOOKUP($A$2,'Circuit Data2'!$A$2:$EP$15,42,)</f>
        <v>313</v>
      </c>
      <c r="M39" s="12">
        <f>VLOOKUP($A$2,'Circuit Data2'!$A$2:$EP$15,48,)</f>
        <v>8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150</v>
      </c>
      <c r="H40" s="3">
        <f>VLOOKUP($A$2,'Circuit Data2'!$A$2:$EP$15,53,)</f>
        <v>186</v>
      </c>
      <c r="I40" s="3">
        <f>VLOOKUP($A$2,'Circuit Data2'!$A$2:$EP$15,52,)</f>
        <v>173</v>
      </c>
      <c r="J40" s="3">
        <f>VLOOKUP($A$2,'Circuit Data2'!$A$2:$EP$15,51,)</f>
        <v>149</v>
      </c>
      <c r="K40" s="14">
        <f>VLOOKUP($A$2,'Circuit Data2'!$A$2:$EP$15,50,)</f>
        <v>145</v>
      </c>
      <c r="L40" s="3">
        <f>VLOOKUP($A$2,'Circuit Data2'!$A$2:$EP$15,49,)</f>
        <v>155</v>
      </c>
      <c r="M40" s="12">
        <f>VLOOKUP($A$2,'Circuit Data2'!$A$2:$EP$15,55,)</f>
        <v>10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143</v>
      </c>
      <c r="H41" s="3">
        <f>VLOOKUP($A$2,'Circuit Data2'!$A$2:$EP$15,60,)</f>
        <v>129</v>
      </c>
      <c r="I41" s="3">
        <f>VLOOKUP($A$2,'Circuit Data2'!$A$2:$EP$15,59,)</f>
        <v>140</v>
      </c>
      <c r="J41" s="3">
        <f>VLOOKUP($A$2,'Circuit Data2'!$A$2:$EP$15,58,)</f>
        <v>116</v>
      </c>
      <c r="K41" s="3">
        <f>VLOOKUP($A$2,'Circuit Data2'!$A$2:$EP$15,57,)</f>
        <v>102</v>
      </c>
      <c r="L41" s="3">
        <f>VLOOKUP($A$2,'Circuit Data2'!$A$2:$EP$15,56,)</f>
        <v>98</v>
      </c>
      <c r="M41" s="12">
        <f>VLOOKUP($A$2,'Circuit Data2'!$A$2:$EP$15,62,)</f>
        <v>5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871</v>
      </c>
      <c r="H42" s="3">
        <f>VLOOKUP($A$2,'Circuit Data2'!$A$2:$EP$15,67,)</f>
        <v>855</v>
      </c>
      <c r="I42" s="3">
        <f>VLOOKUP($A$2,'Circuit Data2'!$A$2:$EP$15,66,)</f>
        <v>857</v>
      </c>
      <c r="J42" s="3">
        <f>VLOOKUP($A$2,'Circuit Data2'!$A$2:$EP$15,65,)</f>
        <v>908</v>
      </c>
      <c r="K42" s="3">
        <f>VLOOKUP($A$2,'Circuit Data2'!$A$2:$EP$15,64,)</f>
        <v>911</v>
      </c>
      <c r="L42" s="3">
        <f>VLOOKUP($A$2,'Circuit Data2'!$A$2:$EP$15,63,)</f>
        <v>891</v>
      </c>
      <c r="M42" s="13">
        <f>VLOOKUP($A$2,'Circuit Data2'!$A$2:$EP$15,69,)</f>
        <v>7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10</v>
      </c>
      <c r="H43" s="15">
        <f>VLOOKUP($A$2,'Circuit Data2'!$A$2:$EP$15,74,)</f>
        <v>8</v>
      </c>
      <c r="I43" s="3">
        <f>VLOOKUP($A$2,'Circuit Data2'!$A$2:$EP$15,73,)</f>
        <v>7</v>
      </c>
      <c r="J43" s="3">
        <f>VLOOKUP($A$2,'Circuit Data2'!$A$2:$EP$15,72,)</f>
        <v>15</v>
      </c>
      <c r="K43" s="3">
        <f>VLOOKUP($A$2,'Circuit Data2'!$A$2:$EP$15,71,)</f>
        <v>14</v>
      </c>
      <c r="L43" s="3">
        <f>VLOOKUP($A$2,'Circuit Data2'!$A$2:$EP$15,70,)</f>
        <v>13</v>
      </c>
      <c r="M43" s="13">
        <f>VLOOKUP($A$2,'Circuit Data2'!$A$2:$EP$15,76,)</f>
        <v>12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379</v>
      </c>
      <c r="H44" s="3">
        <f>VLOOKUP($A$2,'Circuit Data2'!$A$2:$EP$15,81,)</f>
        <v>354</v>
      </c>
      <c r="I44" s="3">
        <f>VLOOKUP($A$2,'Circuit Data2'!$A$2:$EP$15,80,)</f>
        <v>350</v>
      </c>
      <c r="J44" s="3">
        <f>VLOOKUP($A$2,'Circuit Data2'!$A$2:$EP$15,79,)</f>
        <v>361</v>
      </c>
      <c r="K44" s="3">
        <f>VLOOKUP($A$2,'Circuit Data2'!$A$2:$EP$15,78,)</f>
        <v>375</v>
      </c>
      <c r="L44" s="3">
        <f>VLOOKUP($A$2,'Circuit Data2'!$A$2:$EP$15,77,)</f>
        <v>338</v>
      </c>
      <c r="M44" s="13">
        <f>VLOOKUP($A$2,'Circuit Data2'!$A$2:$EP$15,83,)</f>
        <v>7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482</v>
      </c>
      <c r="H45" s="3">
        <f>VLOOKUP($A$2,'Circuit Data2'!$A$2:$EP$15,88,)</f>
        <v>493</v>
      </c>
      <c r="I45" s="3">
        <f>VLOOKUP($A$2,'Circuit Data2'!$A$2:$EP$15,87,)</f>
        <v>500</v>
      </c>
      <c r="J45" s="3">
        <f>VLOOKUP($A$2,'Circuit Data2'!$A$2:$EP$15,86,)</f>
        <v>532</v>
      </c>
      <c r="K45" s="3">
        <f>VLOOKUP($A$2,'Circuit Data2'!$A$2:$EP$15,85,)</f>
        <v>522</v>
      </c>
      <c r="L45" s="3">
        <f>VLOOKUP($A$2,'Circuit Data2'!$A$2:$EP$15,84,)</f>
        <v>553</v>
      </c>
      <c r="M45" s="13">
        <f>VLOOKUP($A$2,'Circuit Data2'!$A$2:$EP$15,90,)</f>
        <v>7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78</v>
      </c>
      <c r="H46" s="3">
        <f>VLOOKUP($A$2,'Circuit Data2'!$A$2:$EP$15,95,)</f>
        <v>73</v>
      </c>
      <c r="I46" s="3">
        <f>VLOOKUP($A$2,'Circuit Data2'!$A$2:$EP$15,94,)</f>
        <v>68</v>
      </c>
      <c r="J46" s="3">
        <f>VLOOKUP($A$2,'Circuit Data2'!$A$2:$EP$15,93,)</f>
        <v>67</v>
      </c>
      <c r="K46" s="3">
        <f>VLOOKUP($A$2,'Circuit Data2'!$A$2:$EP$15,92,)</f>
        <v>67</v>
      </c>
      <c r="L46" s="3">
        <f>VLOOKUP($A$2,'Circuit Data2'!$A$2:$EP$15,91,)</f>
        <v>112</v>
      </c>
      <c r="M46" s="11">
        <f>VLOOKUP($A$2,'Circuit Data2'!$A$2:$EP$15,97,)</f>
        <v>5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199</v>
      </c>
      <c r="H47" s="3">
        <f>VLOOKUP($A$2,'Circuit Data2'!$A$2:$EP$15,102,)</f>
        <v>179</v>
      </c>
      <c r="I47" s="3">
        <f>VLOOKUP($A$2,'Circuit Data2'!$A$2:$EP$15,101,)</f>
        <v>197</v>
      </c>
      <c r="J47" s="3">
        <f>VLOOKUP($A$2,'Circuit Data2'!$A$2:$EP$15,100,)</f>
        <v>204</v>
      </c>
      <c r="K47" s="3">
        <f>VLOOKUP($A$2,'Circuit Data2'!$A$2:$EP$15,99,)</f>
        <v>201</v>
      </c>
      <c r="L47" s="15">
        <f>VLOOKUP($A$2,'Circuit Data2'!$A$2:$EP$15,98,)</f>
        <v>215</v>
      </c>
      <c r="M47" s="13">
        <f>VLOOKUP($A$2,'Circuit Data2'!$A$2:$EP$15,104,)</f>
        <v>7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118</v>
      </c>
      <c r="H48" s="3">
        <f>VLOOKUP($A$2,'Circuit Data2'!$A$2:$EP$15,109,)</f>
        <v>129</v>
      </c>
      <c r="I48" s="3">
        <f>VLOOKUP($A$2,'Circuit Data2'!$A$2:$EP$15,108,)</f>
        <v>161</v>
      </c>
      <c r="J48" s="3">
        <f>VLOOKUP($A$2,'Circuit Data2'!$A$2:$EP$15,107,)</f>
        <v>148</v>
      </c>
      <c r="K48" s="3">
        <f>VLOOKUP($A$2,'Circuit Data2'!$A$2:$EP$15,106,)</f>
        <v>146</v>
      </c>
      <c r="L48" s="3">
        <f>VLOOKUP($A$2,'Circuit Data2'!$A$2:$EP$15,105,)</f>
        <v>135</v>
      </c>
      <c r="M48" s="13">
        <f>VLOOKUP($A$2,'Circuit Data2'!$A$2:$EP$15,111,)</f>
        <v>8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87</v>
      </c>
      <c r="H49" s="3">
        <f>VLOOKUP($A$2,'Circuit Data2'!$A$2:$EP$15,116,)</f>
        <v>112</v>
      </c>
      <c r="I49" s="3">
        <f>VLOOKUP($A$2,'Circuit Data2'!$A$2:$EP$15,115,)</f>
        <v>74</v>
      </c>
      <c r="J49" s="3">
        <f>VLOOKUP($A$2,'Circuit Data2'!$A$2:$EP$15,114,)</f>
        <v>113</v>
      </c>
      <c r="K49" s="3">
        <f>VLOOKUP($A$2,'Circuit Data2'!$A$2:$EP$15,113,)</f>
        <v>108</v>
      </c>
      <c r="L49" s="3">
        <f>VLOOKUP($A$2,'Circuit Data2'!$A$2:$EP$15,112,)</f>
        <v>91</v>
      </c>
      <c r="M49" s="13">
        <f>VLOOKUP($A$2,'Circuit Data2'!$A$2:$EP$15,118,)</f>
        <v>3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793</v>
      </c>
      <c r="H50" s="3">
        <f>VLOOKUP($A$2,'Circuit Data2'!$A$2:$EP$15,123,)</f>
        <v>808</v>
      </c>
      <c r="I50" s="3">
        <f>VLOOKUP($A$2,'Circuit Data2'!$A$2:$EP$15,122,)</f>
        <v>729</v>
      </c>
      <c r="J50" s="3">
        <f>VLOOKUP($A$2,'Circuit Data2'!$A$2:$EP$15,121,)</f>
        <v>668</v>
      </c>
      <c r="K50" s="3">
        <f>VLOOKUP($A$2,'Circuit Data2'!$A$2:$EP$15,120,)</f>
        <v>620</v>
      </c>
      <c r="L50" s="3">
        <f>VLOOKUP($A$2,'Circuit Data2'!$A$2:$EP$15,119,)</f>
        <v>522</v>
      </c>
      <c r="M50" s="13">
        <f>VLOOKUP($A$2,'Circuit Data2'!$A$2:$EP$15,125,)</f>
        <v>8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13.6</v>
      </c>
      <c r="H51" s="10">
        <f>VLOOKUP($A$2,'Circuit Data2'!$A$2:$EP$15,130,)</f>
        <v>14.7</v>
      </c>
      <c r="I51" s="5">
        <f>VLOOKUP($A$2,'Circuit Data2'!$A$2:$EP$15,129,)</f>
        <v>13.1</v>
      </c>
      <c r="J51" s="5">
        <f>VLOOKUP($A$2,'Circuit Data2'!$A$2:$EP$15,128,)</f>
        <v>12.1</v>
      </c>
      <c r="K51" s="5">
        <f>VLOOKUP($A$2,'Circuit Data2'!$A$2:$EP$15,127,)</f>
        <v>11.7</v>
      </c>
      <c r="L51" s="5">
        <f>VLOOKUP($A$2,'Circuit Data2'!$A$2:$EP$15,126,)</f>
        <v>9.1999999999999993</v>
      </c>
      <c r="M51" s="12">
        <f>VLOOKUP($A$2,'Circuit Data2'!$A$2:$EP$15,132,)</f>
        <v>5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3</v>
      </c>
      <c r="H52" s="3">
        <f>VLOOKUP($A$2,'Circuit Data2'!$A$2:$EP$15,137,)</f>
        <v>2</v>
      </c>
      <c r="I52" s="3">
        <f>VLOOKUP($A$2,'Circuit Data2'!$A$2:$EP$15,136,)</f>
        <v>2</v>
      </c>
      <c r="J52" s="3">
        <f>VLOOKUP($A$2,'Circuit Data2'!$A$2:$EP$15,135,)</f>
        <v>2</v>
      </c>
      <c r="K52" s="3">
        <f>VLOOKUP($A$2,'Circuit Data2'!$A$2:$EP$15,134,)</f>
        <v>2</v>
      </c>
      <c r="L52" s="3">
        <f>VLOOKUP($A$2,'Circuit Data2'!$A$2:$EP$15,133,)</f>
        <v>2</v>
      </c>
      <c r="M52" s="11">
        <f>VLOOKUP($A$2,'Circuit Data2'!$A$2:$EP$15,139,)</f>
        <v>3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56</v>
      </c>
      <c r="H53" s="3">
        <f>VLOOKUP($A$2,'Circuit Data2'!$A$2:$EP$15,144,)</f>
        <v>52</v>
      </c>
      <c r="I53" s="3">
        <f>VLOOKUP($A$2,'Circuit Data2'!$A$2:$EP$15,143,)</f>
        <v>83</v>
      </c>
      <c r="J53" s="3">
        <f>VLOOKUP($A$2,'Circuit Data2'!$A$2:$EP$15,142,)</f>
        <v>110</v>
      </c>
      <c r="K53" s="3">
        <f>VLOOKUP($A$2,'Circuit Data2'!$A$2:$EP$15,141,)</f>
        <v>113</v>
      </c>
      <c r="L53" s="3">
        <f>VLOOKUP($A$2,'Circuit Data2'!$A$2:$EP$15,140,)</f>
        <v>111</v>
      </c>
      <c r="M53" s="11">
        <f>VLOOKUP($A$2,'Circuit Data2'!$A$2:$EP$15,146,)</f>
        <v>1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showWhiteSpace="0" zoomScaleNormal="100" workbookViewId="0"/>
  </sheetViews>
  <sheetFormatPr defaultColWidth="12" defaultRowHeight="41.25" customHeight="1" x14ac:dyDescent="0.25"/>
  <cols>
    <col min="1" max="13" width="12" style="2"/>
    <col min="14" max="14" width="15.7109375" style="2" customWidth="1"/>
    <col min="15" max="16384" width="12" style="2"/>
  </cols>
  <sheetData>
    <row r="1" spans="1:14" ht="41.25" customHeight="1" x14ac:dyDescent="0.25">
      <c r="G1" s="52" t="s">
        <v>246</v>
      </c>
      <c r="H1" s="52"/>
      <c r="I1" s="52"/>
      <c r="J1" s="52"/>
      <c r="K1" s="52"/>
      <c r="L1" s="52"/>
      <c r="N1" s="20" t="s">
        <v>347</v>
      </c>
    </row>
    <row r="2" spans="1:14" ht="41.25" customHeight="1" x14ac:dyDescent="0.25">
      <c r="A2" s="39" t="s">
        <v>234</v>
      </c>
      <c r="B2" s="39"/>
      <c r="C2" s="39"/>
      <c r="D2" s="39"/>
      <c r="E2" s="39"/>
      <c r="F2" s="40"/>
      <c r="G2" s="49" t="s">
        <v>348</v>
      </c>
      <c r="H2" s="53"/>
      <c r="I2" s="53"/>
      <c r="J2" s="53"/>
      <c r="K2" s="53"/>
      <c r="L2" s="54"/>
    </row>
    <row r="3" spans="1:14" ht="41.25" customHeight="1" x14ac:dyDescent="0.25">
      <c r="A3" s="39"/>
      <c r="B3" s="39"/>
      <c r="C3" s="39"/>
      <c r="D3" s="39"/>
      <c r="E3" s="39"/>
      <c r="F3" s="39"/>
      <c r="G3" s="45" t="s">
        <v>349</v>
      </c>
      <c r="H3" s="45"/>
      <c r="I3" s="45"/>
      <c r="J3" s="45"/>
      <c r="K3" s="45" t="s">
        <v>350</v>
      </c>
      <c r="L3" s="45"/>
    </row>
    <row r="4" spans="1:14" ht="41.25" customHeight="1" x14ac:dyDescent="0.3">
      <c r="A4" s="39"/>
      <c r="B4" s="39"/>
      <c r="C4" s="39"/>
      <c r="D4" s="39"/>
      <c r="E4" s="39"/>
      <c r="F4" s="40"/>
      <c r="G4" s="21">
        <v>2007</v>
      </c>
      <c r="H4" s="21">
        <v>2008</v>
      </c>
      <c r="I4" s="21">
        <v>2009</v>
      </c>
      <c r="J4" s="21">
        <v>2010</v>
      </c>
      <c r="K4" s="21">
        <v>2010</v>
      </c>
      <c r="L4" s="21">
        <v>2011</v>
      </c>
    </row>
    <row r="5" spans="1:14" ht="41.25" customHeight="1" x14ac:dyDescent="0.25">
      <c r="A5" s="27" t="s">
        <v>196</v>
      </c>
      <c r="B5" s="27"/>
      <c r="C5" s="58" t="s">
        <v>225</v>
      </c>
      <c r="D5" s="61" t="s">
        <v>200</v>
      </c>
      <c r="E5" s="62"/>
      <c r="F5" s="63"/>
      <c r="G5" s="3">
        <f>VLOOKUP($A$2,'Circuit Data'!$A$2:$ED$15,8,)</f>
        <v>4542</v>
      </c>
      <c r="H5" s="3">
        <f>VLOOKUP($A$2,'Circuit Data'!$A$2:$ED$15,7,)</f>
        <v>5185</v>
      </c>
      <c r="I5" s="3">
        <f>VLOOKUP($A$2,'Circuit Data'!$A$2:$ED$15,6,)</f>
        <v>5311</v>
      </c>
      <c r="J5" s="3">
        <f>VLOOKUP($A$2,'Circuit Data'!$A$2:$ED$15,5,)</f>
        <v>4854</v>
      </c>
      <c r="K5" s="3">
        <f>VLOOKUP($A$2,'Circuit Data'!$A$2:$ED$15,4,)</f>
        <v>4784</v>
      </c>
      <c r="L5" s="3">
        <f>VLOOKUP($A$2,'Circuit Data'!$A$2:$ED$15,3,)</f>
        <v>4637</v>
      </c>
    </row>
    <row r="6" spans="1:14" ht="41.25" customHeight="1" x14ac:dyDescent="0.25">
      <c r="A6" s="27"/>
      <c r="B6" s="27"/>
      <c r="C6" s="59"/>
      <c r="D6" s="61" t="s">
        <v>203</v>
      </c>
      <c r="E6" s="62"/>
      <c r="F6" s="63"/>
      <c r="G6" s="3">
        <f>VLOOKUP($A$2,'Circuit Data'!$A$2:$ED$15,14,)</f>
        <v>1742</v>
      </c>
      <c r="H6" s="3">
        <f>VLOOKUP($A$2,'Circuit Data'!$A$2:$ED$15,13,)</f>
        <v>2401</v>
      </c>
      <c r="I6" s="3">
        <f>VLOOKUP($A$2,'Circuit Data'!$A$2:$ED$15,12,)</f>
        <v>2399</v>
      </c>
      <c r="J6" s="3">
        <f>VLOOKUP($A$2,'Circuit Data'!$A$2:$ED$15,11,)</f>
        <v>1460</v>
      </c>
      <c r="K6" s="3">
        <f>VLOOKUP($A$2,'Circuit Data'!$A$2:$ED$15,10,)</f>
        <v>1429</v>
      </c>
      <c r="L6" s="3">
        <f>VLOOKUP($A$2,'Circuit Data'!$A$2:$ED$15,9,)</f>
        <v>1438</v>
      </c>
    </row>
    <row r="7" spans="1:14" ht="41.25" customHeight="1" x14ac:dyDescent="0.25">
      <c r="A7" s="27"/>
      <c r="B7" s="27"/>
      <c r="C7" s="59"/>
      <c r="D7" s="61" t="s">
        <v>201</v>
      </c>
      <c r="E7" s="62"/>
      <c r="F7" s="63"/>
      <c r="G7" s="3">
        <f>VLOOKUP($A$2,'Circuit Data'!$A$2:$ED$15,20,)</f>
        <v>1266</v>
      </c>
      <c r="H7" s="3">
        <f>VLOOKUP($A$2,'Circuit Data'!$A$2:$ED$15,19,)</f>
        <v>1257</v>
      </c>
      <c r="I7" s="3">
        <f>VLOOKUP($A$2,'Circuit Data'!$A$2:$ED$15,18,)</f>
        <v>1369</v>
      </c>
      <c r="J7" s="3">
        <f>VLOOKUP($A$2,'Circuit Data'!$A$2:$ED$15,17,)</f>
        <v>1388</v>
      </c>
      <c r="K7" s="3">
        <f>VLOOKUP($A$2,'Circuit Data'!$A$2:$ED$15,16,)</f>
        <v>1390</v>
      </c>
      <c r="L7" s="3">
        <f>VLOOKUP($A$2,'Circuit Data'!$A$2:$ED$15,15,)</f>
        <v>1396</v>
      </c>
    </row>
    <row r="8" spans="1:14" ht="41.25" customHeight="1" x14ac:dyDescent="0.25">
      <c r="A8" s="27"/>
      <c r="B8" s="27"/>
      <c r="C8" s="59"/>
      <c r="D8" s="61" t="s">
        <v>207</v>
      </c>
      <c r="E8" s="62"/>
      <c r="F8" s="63"/>
      <c r="G8" s="3">
        <f>VLOOKUP($A$2,'Circuit Data'!$A$2:$ED$15,26,)</f>
        <v>1234</v>
      </c>
      <c r="H8" s="3">
        <f>VLOOKUP($A$2,'Circuit Data'!$A$2:$ED$15,25,)</f>
        <v>1209</v>
      </c>
      <c r="I8" s="3">
        <f>VLOOKUP($A$2,'Circuit Data'!$A$2:$ED$15,24,)</f>
        <v>1240</v>
      </c>
      <c r="J8" s="3">
        <f>VLOOKUP($A$2,'Circuit Data'!$A$2:$ED$15,23,)</f>
        <v>1764</v>
      </c>
      <c r="K8" s="3">
        <f>VLOOKUP($A$2,'Circuit Data'!$A$2:$ED$15,22,)</f>
        <v>1711</v>
      </c>
      <c r="L8" s="3">
        <f>VLOOKUP($A$2,'Circuit Data'!$A$2:$ED$15,21,)</f>
        <v>1526</v>
      </c>
    </row>
    <row r="9" spans="1:14" ht="41.25" customHeight="1" x14ac:dyDescent="0.25">
      <c r="A9" s="27"/>
      <c r="B9" s="27"/>
      <c r="C9" s="59"/>
      <c r="D9" s="33" t="s">
        <v>204</v>
      </c>
      <c r="E9" s="33"/>
      <c r="F9" s="33"/>
      <c r="G9" s="3">
        <f>VLOOKUP($A$2,'Circuit Data'!$A$2:$ED$15,32,)</f>
        <v>300</v>
      </c>
      <c r="H9" s="3">
        <f>VLOOKUP($A$2,'Circuit Data'!$A$2:$ED$15,31,)</f>
        <v>318</v>
      </c>
      <c r="I9" s="3">
        <f>VLOOKUP($A$2,'Circuit Data'!$A$2:$ED$15,30,)</f>
        <v>303</v>
      </c>
      <c r="J9" s="3">
        <f>VLOOKUP($A$2,'Circuit Data'!$A$2:$ED$15,29,)</f>
        <v>242</v>
      </c>
      <c r="K9" s="3">
        <f>VLOOKUP($A$2,'Circuit Data'!$A$2:$ED$15,28,)</f>
        <v>254</v>
      </c>
      <c r="L9" s="3">
        <f>VLOOKUP($A$2,'Circuit Data'!$A$2:$ED$15,27,)</f>
        <v>277</v>
      </c>
    </row>
    <row r="10" spans="1:14" ht="41.25" customHeight="1" x14ac:dyDescent="0.25">
      <c r="A10" s="27"/>
      <c r="B10" s="27"/>
      <c r="C10" s="59"/>
      <c r="D10" s="29" t="s">
        <v>197</v>
      </c>
      <c r="E10" s="29"/>
      <c r="F10" s="29"/>
      <c r="G10" s="4"/>
      <c r="H10" s="4"/>
      <c r="I10" s="4"/>
      <c r="J10" s="4"/>
      <c r="K10" s="5">
        <f>VLOOKUP($A$2,'Circuit Data'!$A$2:$ED$15,33,)</f>
        <v>-3.1</v>
      </c>
      <c r="L10" s="6" t="s">
        <v>198</v>
      </c>
    </row>
    <row r="11" spans="1:14" ht="41.25" customHeight="1" x14ac:dyDescent="0.25">
      <c r="A11" s="27"/>
      <c r="B11" s="27"/>
      <c r="C11" s="60"/>
      <c r="D11" s="29"/>
      <c r="E11" s="29"/>
      <c r="F11" s="29"/>
      <c r="G11" s="7">
        <f>VLOOKUP($A$2,'Circuit Data'!$A$2:$ED$15,38,)</f>
        <v>2.1</v>
      </c>
      <c r="H11" s="5">
        <f>VLOOKUP($A$2,'Circuit Data'!$A$2:$ED$15,37,)</f>
        <v>-10.6</v>
      </c>
      <c r="I11" s="5">
        <f>VLOOKUP($A$2,'Circuit Data'!$A$2:$ED$15,36,)</f>
        <v>-12.7</v>
      </c>
      <c r="J11" s="5">
        <f>VLOOKUP($A$2,'Circuit Data'!$A$2:$ED$15,35,)</f>
        <v>-4.5</v>
      </c>
      <c r="K11" s="56" t="s">
        <v>199</v>
      </c>
      <c r="L11" s="57"/>
    </row>
    <row r="12" spans="1:14" ht="41.25" customHeight="1" x14ac:dyDescent="0.25">
      <c r="A12" s="27"/>
      <c r="B12" s="27"/>
      <c r="C12" s="30" t="s">
        <v>226</v>
      </c>
      <c r="D12" s="29" t="s">
        <v>200</v>
      </c>
      <c r="E12" s="29"/>
      <c r="F12" s="29"/>
      <c r="G12" s="9">
        <f>VLOOKUP($A$2,'Circuit Data'!$A$2:$ED$15,44,)</f>
        <v>4900</v>
      </c>
      <c r="H12" s="9">
        <f>VLOOKUP($A$2,'Circuit Data'!$A$2:$ED$15,43,)</f>
        <v>4671</v>
      </c>
      <c r="I12" s="3">
        <f>VLOOKUP($A$2,'Circuit Data'!$A$2:$ED$15,42,)</f>
        <v>5282</v>
      </c>
      <c r="J12" s="3">
        <f>VLOOKUP($A$2,'Circuit Data'!$A$2:$ED$15,41,)</f>
        <v>4951</v>
      </c>
      <c r="K12" s="3">
        <f>VLOOKUP($A$2,'Circuit Data'!$A$2:$ED$15,40,)</f>
        <v>4757</v>
      </c>
      <c r="L12" s="3">
        <f>VLOOKUP($A$2,'Circuit Data'!$A$2:$ED$15,39,)</f>
        <v>5165</v>
      </c>
    </row>
    <row r="13" spans="1:14" ht="41.25" customHeight="1" x14ac:dyDescent="0.25">
      <c r="A13" s="27"/>
      <c r="B13" s="27"/>
      <c r="C13" s="31"/>
      <c r="D13" s="23" t="s">
        <v>351</v>
      </c>
      <c r="E13" s="38"/>
      <c r="F13" s="24"/>
      <c r="G13" s="3">
        <f>VLOOKUP($A$2,'Circuit Data'!$A$2:$ED$15,50,)</f>
        <v>243</v>
      </c>
      <c r="H13" s="3">
        <f>VLOOKUP($A$2,'Circuit Data'!$A$2:$ED$15,49,)</f>
        <v>174</v>
      </c>
      <c r="I13" s="3">
        <f>VLOOKUP($A$2,'Circuit Data'!$A$2:$ED$15,48,)</f>
        <v>169</v>
      </c>
      <c r="J13" s="3">
        <f>VLOOKUP($A$2,'Circuit Data'!$A$2:$ED$15,47,)</f>
        <v>128</v>
      </c>
      <c r="K13" s="3">
        <f>VLOOKUP($A$2,'Circuit Data'!$A$2:$ED$15,46,)</f>
        <v>123</v>
      </c>
      <c r="L13" s="3">
        <f>VLOOKUP($A$2,'Circuit Data'!$A$2:$ED$15,45,)</f>
        <v>183</v>
      </c>
    </row>
    <row r="14" spans="1:14" ht="41.25" customHeight="1" x14ac:dyDescent="0.25">
      <c r="A14" s="27"/>
      <c r="B14" s="27"/>
      <c r="C14" s="31"/>
      <c r="D14" s="33" t="s">
        <v>205</v>
      </c>
      <c r="E14" s="33"/>
      <c r="F14" s="33"/>
      <c r="G14" s="3">
        <f>VLOOKUP($A$2,'Circuit Data'!$A$2:$ED$15,56,)</f>
        <v>1916</v>
      </c>
      <c r="H14" s="3">
        <f>VLOOKUP($A$2,'Circuit Data'!$A$2:$ED$15,55,)</f>
        <v>1916</v>
      </c>
      <c r="I14" s="3">
        <f>VLOOKUP($A$2,'Circuit Data'!$A$2:$ED$15,54,)</f>
        <v>2187</v>
      </c>
      <c r="J14" s="3">
        <f>VLOOKUP($A$2,'Circuit Data'!$A$2:$ED$15,53,)</f>
        <v>1929</v>
      </c>
      <c r="K14" s="3">
        <f>VLOOKUP($A$2,'Circuit Data'!$A$2:$ED$15,52,)</f>
        <v>1816</v>
      </c>
      <c r="L14" s="3">
        <f>VLOOKUP($A$2,'Circuit Data'!$A$2:$ED$15,51,)</f>
        <v>1599</v>
      </c>
    </row>
    <row r="15" spans="1:14" ht="41.25" customHeight="1" x14ac:dyDescent="0.25">
      <c r="A15" s="27"/>
      <c r="B15" s="27"/>
      <c r="C15" s="31"/>
      <c r="D15" s="34" t="s">
        <v>206</v>
      </c>
      <c r="E15" s="33" t="s">
        <v>200</v>
      </c>
      <c r="F15" s="33"/>
      <c r="G15" s="3">
        <f>VLOOKUP($A$2,'Circuit Data'!$A$2:$ED$15,62,)</f>
        <v>2741</v>
      </c>
      <c r="H15" s="3">
        <f>VLOOKUP($A$2,'Circuit Data'!$A$2:$ED$15,61,)</f>
        <v>2581</v>
      </c>
      <c r="I15" s="3">
        <f>VLOOKUP($A$2,'Circuit Data'!$A$2:$ED$15,60,)</f>
        <v>2926</v>
      </c>
      <c r="J15" s="3">
        <f>VLOOKUP($A$2,'Circuit Data'!$A$2:$ED$15,59,)</f>
        <v>2894</v>
      </c>
      <c r="K15" s="3">
        <f>VLOOKUP($A$2,'Circuit Data'!$A$2:$ED$15,58,)</f>
        <v>2818</v>
      </c>
      <c r="L15" s="3">
        <f>VLOOKUP($A$2,'Circuit Data'!$A$2:$ED$15,57,)</f>
        <v>3566</v>
      </c>
    </row>
    <row r="16" spans="1:14" ht="41.25" customHeight="1" x14ac:dyDescent="0.25">
      <c r="A16" s="27"/>
      <c r="B16" s="27"/>
      <c r="C16" s="31"/>
      <c r="D16" s="35"/>
      <c r="E16" s="33" t="s">
        <v>203</v>
      </c>
      <c r="F16" s="33"/>
      <c r="G16" s="3">
        <f>VLOOKUP($A$2,'Circuit Data'!$A$2:$ED$15,68,)</f>
        <v>600</v>
      </c>
      <c r="H16" s="3">
        <f>VLOOKUP($A$2,'Circuit Data'!$A$2:$ED$15,67,)</f>
        <v>641</v>
      </c>
      <c r="I16" s="3">
        <f>VLOOKUP($A$2,'Circuit Data'!$A$2:$ED$15,66,)</f>
        <v>986</v>
      </c>
      <c r="J16" s="3">
        <f>VLOOKUP($A$2,'Circuit Data'!$A$2:$ED$15,65,)</f>
        <v>614</v>
      </c>
      <c r="K16" s="3">
        <f>VLOOKUP($A$2,'Circuit Data'!$A$2:$ED$15,64,)</f>
        <v>434</v>
      </c>
      <c r="L16" s="3">
        <f>VLOOKUP($A$2,'Circuit Data'!$A$2:$ED$15,63,)</f>
        <v>609</v>
      </c>
    </row>
    <row r="17" spans="1:13" ht="41.25" customHeight="1" x14ac:dyDescent="0.25">
      <c r="A17" s="27"/>
      <c r="B17" s="27"/>
      <c r="C17" s="31"/>
      <c r="D17" s="35"/>
      <c r="E17" s="29" t="s">
        <v>201</v>
      </c>
      <c r="F17" s="29"/>
      <c r="G17" s="3">
        <f>VLOOKUP($A$2,'Circuit Data'!$A$2:$ED$15,74,)</f>
        <v>857</v>
      </c>
      <c r="H17" s="3">
        <f>VLOOKUP($A$2,'Circuit Data'!$A$2:$ED$15,73,)</f>
        <v>801</v>
      </c>
      <c r="I17" s="3">
        <f>VLOOKUP($A$2,'Circuit Data'!$A$2:$ED$15,72,)</f>
        <v>846</v>
      </c>
      <c r="J17" s="3">
        <f>VLOOKUP($A$2,'Circuit Data'!$A$2:$ED$15,71,)</f>
        <v>859</v>
      </c>
      <c r="K17" s="3">
        <f>VLOOKUP($A$2,'Circuit Data'!$A$2:$ED$15,70,)</f>
        <v>848</v>
      </c>
      <c r="L17" s="3">
        <f>VLOOKUP($A$2,'Circuit Data'!$A$2:$ED$15,69,)</f>
        <v>1072</v>
      </c>
    </row>
    <row r="18" spans="1:13" ht="41.25" customHeight="1" x14ac:dyDescent="0.25">
      <c r="A18" s="27"/>
      <c r="B18" s="27"/>
      <c r="C18" s="31"/>
      <c r="D18" s="35"/>
      <c r="E18" s="33" t="s">
        <v>207</v>
      </c>
      <c r="F18" s="33"/>
      <c r="G18" s="3">
        <f>VLOOKUP($A$2,'Circuit Data'!$A$2:$ED$15,80,)</f>
        <v>1017</v>
      </c>
      <c r="H18" s="3">
        <f>VLOOKUP($A$2,'Circuit Data'!$A$2:$ED$15,79,)</f>
        <v>917</v>
      </c>
      <c r="I18" s="3">
        <f>VLOOKUP($A$2,'Circuit Data'!$A$2:$ED$15,78,)</f>
        <v>881</v>
      </c>
      <c r="J18" s="3">
        <f>VLOOKUP($A$2,'Circuit Data'!$A$2:$ED$15,77,)</f>
        <v>1228</v>
      </c>
      <c r="K18" s="3">
        <f>VLOOKUP($A$2,'Circuit Data'!$A$2:$ED$15,76,)</f>
        <v>1366</v>
      </c>
      <c r="L18" s="3">
        <f>VLOOKUP($A$2,'Circuit Data'!$A$2:$ED$15,75,)</f>
        <v>1727</v>
      </c>
    </row>
    <row r="19" spans="1:13" ht="41.25" customHeight="1" x14ac:dyDescent="0.25">
      <c r="A19" s="27"/>
      <c r="B19" s="27"/>
      <c r="C19" s="31"/>
      <c r="D19" s="35"/>
      <c r="E19" s="33" t="s">
        <v>204</v>
      </c>
      <c r="F19" s="33"/>
      <c r="G19" s="3">
        <f>VLOOKUP($A$2,'Circuit Data'!$A$2:$ED$15,86,)</f>
        <v>267</v>
      </c>
      <c r="H19" s="3">
        <f>VLOOKUP($A$2,'Circuit Data'!$A$2:$ED$15,85,)</f>
        <v>222</v>
      </c>
      <c r="I19" s="3">
        <f>VLOOKUP($A$2,'Circuit Data'!$A$2:$ED$15,84,)</f>
        <v>213</v>
      </c>
      <c r="J19" s="3">
        <f>VLOOKUP($A$2,'Circuit Data'!$A$2:$ED$15,83,)</f>
        <v>193</v>
      </c>
      <c r="K19" s="3">
        <f>VLOOKUP($A$2,'Circuit Data'!$A$2:$ED$15,82,)</f>
        <v>170</v>
      </c>
      <c r="L19" s="3">
        <f>VLOOKUP($A$2,'Circuit Data'!$A$2:$ED$15,81,)</f>
        <v>158</v>
      </c>
    </row>
    <row r="20" spans="1:13" ht="41.25" customHeight="1" x14ac:dyDescent="0.25">
      <c r="A20" s="27"/>
      <c r="B20" s="27"/>
      <c r="C20" s="32"/>
      <c r="D20" s="36"/>
      <c r="E20" s="23" t="s">
        <v>208</v>
      </c>
      <c r="F20" s="24"/>
      <c r="G20" s="5">
        <f>VLOOKUP($A$2,'Circuit Data'!$A$2:$ED$15,92,)</f>
        <v>89.3</v>
      </c>
      <c r="H20" s="5">
        <f>VLOOKUP($A$2,'Circuit Data'!$A$2:$ED$15,91,)</f>
        <v>84.6</v>
      </c>
      <c r="I20" s="5">
        <f>VLOOKUP($A$2,'Circuit Data'!$A$2:$ED$15,90,)</f>
        <v>89.9</v>
      </c>
      <c r="J20" s="5">
        <f>VLOOKUP($A$2,'Circuit Data'!$A$2:$ED$15,89,)</f>
        <v>89.4</v>
      </c>
      <c r="K20" s="5">
        <f>VLOOKUP($A$2,'Circuit Data'!$A$2:$ED$15,88,)</f>
        <v>90.1</v>
      </c>
      <c r="L20" s="5">
        <f>VLOOKUP($A$2,'Circuit Data'!$A$2:$ED$15,87,)</f>
        <v>87.1</v>
      </c>
    </row>
    <row r="21" spans="1:13" ht="41.25" customHeight="1" x14ac:dyDescent="0.25">
      <c r="A21" s="27"/>
      <c r="B21" s="27"/>
      <c r="C21" s="55" t="s">
        <v>209</v>
      </c>
      <c r="D21" s="50"/>
      <c r="E21" s="50"/>
      <c r="F21" s="51"/>
      <c r="G21" s="3">
        <f>VLOOKUP($A$2,'Circuit Data'!$A$2:$ED$15,98,)</f>
        <v>2793</v>
      </c>
      <c r="H21" s="3">
        <f>VLOOKUP($A$2,'Circuit Data'!$A$2:$ED$15,97,)</f>
        <v>3310</v>
      </c>
      <c r="I21" s="3">
        <f>VLOOKUP($A$2,'Circuit Data'!$A$2:$ED$15,96,)</f>
        <v>3343</v>
      </c>
      <c r="J21" s="3">
        <f>VLOOKUP($A$2,'Circuit Data'!$A$2:$ED$15,95,)</f>
        <v>3231</v>
      </c>
      <c r="K21" s="3">
        <f>VLOOKUP($A$2,'Circuit Data'!$A$2:$ED$15,94,)</f>
        <v>3104</v>
      </c>
      <c r="L21" s="3">
        <f>VLOOKUP($A$2,'Circuit Data'!$A$2:$ED$15,93,)</f>
        <v>2577</v>
      </c>
    </row>
    <row r="22" spans="1:13" ht="41.25" customHeight="1" x14ac:dyDescent="0.25">
      <c r="A22" s="27" t="s">
        <v>210</v>
      </c>
      <c r="B22" s="27"/>
      <c r="C22" s="43"/>
      <c r="D22" s="29" t="s">
        <v>247</v>
      </c>
      <c r="E22" s="29"/>
      <c r="F22" s="29"/>
      <c r="G22" s="3">
        <f>VLOOKUP($A$2,'Circuit Data'!$A$2:$ED$15,104,)</f>
        <v>706</v>
      </c>
      <c r="H22" s="3">
        <f>VLOOKUP($A$2,'Circuit Data'!$A$2:$ED$15,103,)</f>
        <v>652</v>
      </c>
      <c r="I22" s="3">
        <f>VLOOKUP($A$2,'Circuit Data'!$A$2:$ED$15,102,)</f>
        <v>778</v>
      </c>
      <c r="J22" s="3">
        <f>VLOOKUP($A$2,'Circuit Data'!$A$2:$ED$15,101,)</f>
        <v>712</v>
      </c>
      <c r="K22" s="3">
        <f>VLOOKUP($A$2,'Circuit Data'!$A$2:$ED$15,100,)</f>
        <v>644</v>
      </c>
      <c r="L22" s="3">
        <f>VLOOKUP($A$2,'Circuit Data'!$A$2:$ED$15,99,)</f>
        <v>755</v>
      </c>
    </row>
    <row r="23" spans="1:13" ht="41.25" customHeight="1" x14ac:dyDescent="0.25">
      <c r="A23" s="27"/>
      <c r="B23" s="27"/>
      <c r="C23" s="43"/>
      <c r="D23" s="29" t="s">
        <v>211</v>
      </c>
      <c r="E23" s="29"/>
      <c r="F23" s="29"/>
      <c r="G23" s="3">
        <f>VLOOKUP($A$2,'Circuit Data'!$A$2:$ED$15,110,)</f>
        <v>287</v>
      </c>
      <c r="H23" s="3">
        <f>VLOOKUP($A$2,'Circuit Data'!$A$2:$ED$15,109,)</f>
        <v>214</v>
      </c>
      <c r="I23" s="3">
        <f>VLOOKUP($A$2,'Circuit Data'!$A$2:$ED$15,108,)</f>
        <v>250</v>
      </c>
      <c r="J23" s="3">
        <f>VLOOKUP($A$2,'Circuit Data'!$A$2:$ED$15,107,)</f>
        <v>248</v>
      </c>
      <c r="K23" s="3">
        <f>VLOOKUP($A$2,'Circuit Data'!$A$2:$ED$15,106,)</f>
        <v>206</v>
      </c>
      <c r="L23" s="3">
        <f>VLOOKUP($A$2,'Circuit Data'!$A$2:$ED$15,105,)</f>
        <v>182</v>
      </c>
    </row>
    <row r="24" spans="1:13" ht="41.25" customHeight="1" x14ac:dyDescent="0.25">
      <c r="A24" s="27"/>
      <c r="B24" s="27"/>
      <c r="C24" s="43"/>
      <c r="D24" s="34" t="s">
        <v>212</v>
      </c>
      <c r="E24" s="33" t="s">
        <v>200</v>
      </c>
      <c r="F24" s="33"/>
      <c r="G24" s="3">
        <f>VLOOKUP($A$2,'Circuit Data'!$A$2:$ED$15,116,)</f>
        <v>243</v>
      </c>
      <c r="H24" s="3">
        <f>VLOOKUP($A$2,'Circuit Data'!$A$2:$ED$15,115,)</f>
        <v>234</v>
      </c>
      <c r="I24" s="3">
        <f>VLOOKUP($A$2,'Circuit Data'!$A$2:$ED$15,114,)</f>
        <v>270</v>
      </c>
      <c r="J24" s="3">
        <f>VLOOKUP($A$2,'Circuit Data'!$A$2:$ED$15,113,)</f>
        <v>241</v>
      </c>
      <c r="K24" s="3">
        <f>VLOOKUP($A$2,'Circuit Data'!$A$2:$ED$15,112,)</f>
        <v>224</v>
      </c>
      <c r="L24" s="3">
        <f>VLOOKUP($A$2,'Circuit Data'!$A$2:$ED$15,111,)</f>
        <v>250</v>
      </c>
    </row>
    <row r="25" spans="1:13" ht="41.25" customHeight="1" x14ac:dyDescent="0.25">
      <c r="A25" s="27"/>
      <c r="B25" s="27"/>
      <c r="C25" s="43"/>
      <c r="D25" s="35"/>
      <c r="E25" s="29" t="s">
        <v>213</v>
      </c>
      <c r="F25" s="29"/>
      <c r="G25" s="3">
        <f>VLOOKUP($A$2,'Circuit Data'!$A$2:$ED$15,122,)</f>
        <v>41</v>
      </c>
      <c r="H25" s="3">
        <f>VLOOKUP($A$2,'Circuit Data'!$A$2:$ED$15,121,)</f>
        <v>44</v>
      </c>
      <c r="I25" s="3">
        <f>VLOOKUP($A$2,'Circuit Data'!$A$2:$ED$15,120,)</f>
        <v>41</v>
      </c>
      <c r="J25" s="3">
        <f>VLOOKUP($A$2,'Circuit Data'!$A$2:$ED$15,119,)</f>
        <v>46</v>
      </c>
      <c r="K25" s="3">
        <f>VLOOKUP($A$2,'Circuit Data'!$A$2:$ED$15,118,)</f>
        <v>45</v>
      </c>
      <c r="L25" s="3">
        <f>VLOOKUP($A$2,'Circuit Data'!$A$2:$ED$15,117,)</f>
        <v>48</v>
      </c>
    </row>
    <row r="26" spans="1:13" ht="41.25" customHeight="1" x14ac:dyDescent="0.25">
      <c r="A26" s="27"/>
      <c r="B26" s="27"/>
      <c r="C26" s="43"/>
      <c r="D26" s="35"/>
      <c r="E26" s="29" t="s">
        <v>214</v>
      </c>
      <c r="F26" s="29"/>
      <c r="G26" s="3">
        <f>VLOOKUP($A$2,'Circuit Data'!$A$2:$ED$15,128,)</f>
        <v>202</v>
      </c>
      <c r="H26" s="3">
        <f>VLOOKUP($A$2,'Circuit Data'!$A$2:$ED$15,127,)</f>
        <v>190</v>
      </c>
      <c r="I26" s="3">
        <f>VLOOKUP($A$2,'Circuit Data'!$A$2:$ED$15,126,)</f>
        <v>229</v>
      </c>
      <c r="J26" s="3">
        <f>VLOOKUP($A$2,'Circuit Data'!$A$2:$ED$15,125,)</f>
        <v>195</v>
      </c>
      <c r="K26" s="3">
        <f>VLOOKUP($A$2,'Circuit Data'!$A$2:$ED$15,124,)</f>
        <v>179</v>
      </c>
      <c r="L26" s="3">
        <f>VLOOKUP($A$2,'Circuit Data'!$A$2:$ED$15,123,)</f>
        <v>202</v>
      </c>
    </row>
    <row r="27" spans="1:13" ht="41.25" customHeight="1" x14ac:dyDescent="0.25">
      <c r="A27" s="27"/>
      <c r="B27" s="27"/>
      <c r="C27" s="43"/>
      <c r="D27" s="36"/>
      <c r="E27" s="29" t="s">
        <v>215</v>
      </c>
      <c r="F27" s="29"/>
      <c r="G27" s="3" t="str">
        <f>VLOOKUP($A$2,'Circuit Data'!$A$2:$ED$15,134,)</f>
        <v>-</v>
      </c>
      <c r="H27" s="3" t="str">
        <f>VLOOKUP($A$2,'Circuit Data'!$A$2:$ED$15,133,)</f>
        <v>-</v>
      </c>
      <c r="I27" s="3" t="str">
        <f>VLOOKUP($A$2,'Circuit Data'!$A$2:$ED$15,132,)</f>
        <v>-</v>
      </c>
      <c r="J27" s="3" t="str">
        <f>VLOOKUP($A$2,'Circuit Data'!$A$2:$ED$15,131,)</f>
        <v>-</v>
      </c>
      <c r="K27" s="3" t="str">
        <f>VLOOKUP($A$2,'Circuit Data'!$A$2:$ED$15,130,)</f>
        <v>-</v>
      </c>
      <c r="L27" s="3" t="str">
        <f>VLOOKUP($A$2,'Circuit Data'!$A$2:$ED$15,129,)</f>
        <v>-</v>
      </c>
    </row>
    <row r="28" spans="1:13" ht="41.25" customHeight="1" x14ac:dyDescent="0.25">
      <c r="A28" s="41" t="s">
        <v>230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35.25" customHeight="1" x14ac:dyDescent="0.25">
      <c r="A29" s="25" t="s">
        <v>352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46.5" customHeight="1" x14ac:dyDescent="0.25">
      <c r="G30" s="52" t="s">
        <v>246</v>
      </c>
      <c r="H30" s="52"/>
      <c r="I30" s="52"/>
      <c r="J30" s="52"/>
      <c r="K30" s="52"/>
      <c r="L30" s="52"/>
    </row>
    <row r="31" spans="1:13" ht="46.5" customHeight="1" x14ac:dyDescent="0.25">
      <c r="A31" s="39" t="str">
        <f>A2</f>
        <v>FOURTH CIRCUIT</v>
      </c>
      <c r="B31" s="39"/>
      <c r="C31" s="39"/>
      <c r="D31" s="39"/>
      <c r="E31" s="39"/>
      <c r="F31" s="40"/>
      <c r="G31" s="44" t="s">
        <v>348</v>
      </c>
      <c r="H31" s="44"/>
      <c r="I31" s="44"/>
      <c r="J31" s="44"/>
      <c r="K31" s="44"/>
      <c r="L31" s="44"/>
    </row>
    <row r="32" spans="1:13" ht="46.5" customHeight="1" x14ac:dyDescent="0.25">
      <c r="A32" s="39"/>
      <c r="B32" s="39"/>
      <c r="C32" s="39"/>
      <c r="D32" s="39"/>
      <c r="E32" s="39"/>
      <c r="F32" s="40"/>
      <c r="G32" s="45" t="s">
        <v>349</v>
      </c>
      <c r="H32" s="45"/>
      <c r="I32" s="45"/>
      <c r="J32" s="45"/>
      <c r="K32" s="45" t="s">
        <v>350</v>
      </c>
      <c r="L32" s="45"/>
    </row>
    <row r="33" spans="1:13" ht="46.5" customHeight="1" x14ac:dyDescent="0.3">
      <c r="A33" s="39"/>
      <c r="B33" s="39"/>
      <c r="C33" s="39"/>
      <c r="D33" s="39"/>
      <c r="E33" s="39"/>
      <c r="F33" s="40"/>
      <c r="G33" s="21">
        <v>2007</v>
      </c>
      <c r="H33" s="21">
        <v>2008</v>
      </c>
      <c r="I33" s="21">
        <v>2009</v>
      </c>
      <c r="J33" s="21">
        <v>2010</v>
      </c>
      <c r="K33" s="21">
        <v>2010</v>
      </c>
      <c r="L33" s="21">
        <v>2011</v>
      </c>
      <c r="M33" s="64" t="s">
        <v>195</v>
      </c>
    </row>
    <row r="34" spans="1:13" ht="46.5" customHeight="1" x14ac:dyDescent="0.25">
      <c r="A34" s="27" t="s">
        <v>228</v>
      </c>
      <c r="B34" s="27"/>
      <c r="C34" s="28"/>
      <c r="D34" s="29" t="s">
        <v>216</v>
      </c>
      <c r="E34" s="29"/>
      <c r="F34" s="29"/>
      <c r="G34" s="3" t="str">
        <f>VLOOKUP($A$2,'Circuit Data2'!$A$2:$EP$15,14,)&amp;"/"&amp;TEXT(VLOOKUP($A$2,'Circuit Data2'!$A$2:$EP$15,15,),"0.0")</f>
        <v>15/5.0</v>
      </c>
      <c r="H34" s="3" t="str">
        <f>VLOOKUP($A$2,'Circuit Data2'!$A$2:$EP$15,12,)&amp;"/"&amp;TEXT(VLOOKUP($A$2,'Circuit Data2'!$A$2:$EP$15,13,),"0.0")</f>
        <v>15/5.0</v>
      </c>
      <c r="I34" s="3" t="str">
        <f>VLOOKUP($A$2,'Circuit Data2'!$A$2:$EP$15,10,)&amp;"/"&amp;TEXT(VLOOKUP($A$2,'Circuit Data2'!$A$2:$EP$15,11,),"0.0")</f>
        <v>15/5.0</v>
      </c>
      <c r="J34" s="3" t="str">
        <f>VLOOKUP($A$2,'Circuit Data2'!$A$2:$EP$15,8,)&amp;"/"&amp;TEXT(VLOOKUP($A$2,'Circuit Data2'!$A$2:$EP$15,9,),"0.0")</f>
        <v>15/5.0</v>
      </c>
      <c r="K34" s="3" t="str">
        <f>VLOOKUP($A$2,'Circuit Data2'!$A$2:$EP$15,6,)&amp;"/"&amp;TEXT(VLOOKUP($A$2,'Circuit Data2'!$A$2:$EP$15,7,),"0.0")</f>
        <v>15/5.0</v>
      </c>
      <c r="L34" s="3" t="str">
        <f>VLOOKUP($A$2,'Circuit Data2'!$A$2:$EP$15,4,)&amp;"/"&amp;TEXT(VLOOKUP($A$2,'Circuit Data2'!$A$2:$EP$15,5,),"0.0")</f>
        <v>15/5.0</v>
      </c>
      <c r="M34" s="64"/>
    </row>
    <row r="35" spans="1:13" ht="46.5" customHeight="1" x14ac:dyDescent="0.25">
      <c r="A35" s="27"/>
      <c r="B35" s="27"/>
      <c r="C35" s="28"/>
      <c r="D35" s="29" t="s">
        <v>217</v>
      </c>
      <c r="E35" s="29"/>
      <c r="F35" s="29"/>
      <c r="G35" s="3">
        <f>VLOOKUP($A$2,'Circuit Data2'!$A$2:$EP$15,21,)</f>
        <v>2</v>
      </c>
      <c r="H35" s="3">
        <f>VLOOKUP($A$2,'Circuit Data2'!$A$2:$EP$15,20,)</f>
        <v>2</v>
      </c>
      <c r="I35" s="3">
        <f>VLOOKUP($A$2,'Circuit Data2'!$A$2:$EP$15,19,)</f>
        <v>1</v>
      </c>
      <c r="J35" s="3">
        <f>VLOOKUP($A$2,'Circuit Data2'!$A$2:$EP$15,18,)</f>
        <v>1</v>
      </c>
      <c r="K35" s="3">
        <f>VLOOKUP($A$2,'Circuit Data2'!$A$2:$EP$15,17,)</f>
        <v>1</v>
      </c>
      <c r="L35" s="3">
        <f>VLOOKUP($A$2,'Circuit Data2'!$A$2:$EP$15,16,)</f>
        <v>1</v>
      </c>
      <c r="M35" s="65" t="s">
        <v>92</v>
      </c>
    </row>
    <row r="36" spans="1:13" ht="46.5" customHeight="1" x14ac:dyDescent="0.25">
      <c r="A36" s="27"/>
      <c r="B36" s="27"/>
      <c r="C36" s="28"/>
      <c r="D36" s="29" t="s">
        <v>218</v>
      </c>
      <c r="E36" s="29"/>
      <c r="F36" s="29"/>
      <c r="G36" s="17">
        <f>VLOOKUP($A$2,'Circuit Data2'!$A$2:$EP$15,27,)</f>
        <v>41.4</v>
      </c>
      <c r="H36" s="17">
        <f>VLOOKUP($A$2,'Circuit Data2'!$A$2:$EP$15,26,)</f>
        <v>55.6</v>
      </c>
      <c r="I36" s="17">
        <f>VLOOKUP($A$2,'Circuit Data2'!$A$2:$EP$15,25,)</f>
        <v>50.8</v>
      </c>
      <c r="J36" s="17">
        <f>VLOOKUP($A$2,'Circuit Data2'!$A$2:$EP$15,24,)</f>
        <v>40.4</v>
      </c>
      <c r="K36" s="17">
        <f>VLOOKUP($A$2,'Circuit Data2'!$A$2:$EP$15,23,)</f>
        <v>32.6</v>
      </c>
      <c r="L36" s="17">
        <f>VLOOKUP($A$2,'Circuit Data2'!$A$2:$EP$15,22,)</f>
        <v>18.2</v>
      </c>
      <c r="M36" s="65"/>
    </row>
    <row r="37" spans="1:13" ht="46.5" customHeight="1" x14ac:dyDescent="0.25">
      <c r="A37" s="27"/>
      <c r="B37" s="27"/>
      <c r="C37" s="30" t="s">
        <v>202</v>
      </c>
      <c r="D37" s="33" t="s">
        <v>200</v>
      </c>
      <c r="E37" s="33"/>
      <c r="F37" s="33"/>
      <c r="G37" s="3">
        <f>VLOOKUP($A$2,'Circuit Data2'!$A$2:$EP$15,33,)</f>
        <v>908</v>
      </c>
      <c r="H37" s="3">
        <f>VLOOKUP($A$2,'Circuit Data2'!$A$2:$EP$15,32,)</f>
        <v>1037</v>
      </c>
      <c r="I37" s="3">
        <f>VLOOKUP($A$2,'Circuit Data2'!$A$2:$EP$15,31,)</f>
        <v>1062</v>
      </c>
      <c r="J37" s="3">
        <f>VLOOKUP($A$2,'Circuit Data2'!$A$2:$EP$15,30,)</f>
        <v>971</v>
      </c>
      <c r="K37" s="3">
        <f>VLOOKUP($A$2,'Circuit Data2'!$A$2:$EP$15,29,)</f>
        <v>957</v>
      </c>
      <c r="L37" s="3">
        <f>VLOOKUP($A$2,'Circuit Data2'!$A$2:$EP$15,28,)</f>
        <v>927</v>
      </c>
      <c r="M37" s="16">
        <f>VLOOKUP($A$2,'Circuit Data2'!$A$2:$EP$15,34,)</f>
        <v>5</v>
      </c>
    </row>
    <row r="38" spans="1:13" ht="46.5" customHeight="1" x14ac:dyDescent="0.25">
      <c r="A38" s="27"/>
      <c r="B38" s="27"/>
      <c r="C38" s="31"/>
      <c r="D38" s="29" t="s">
        <v>203</v>
      </c>
      <c r="E38" s="29"/>
      <c r="F38" s="29"/>
      <c r="G38" s="3">
        <f>VLOOKUP($A$2,'Circuit Data2'!$A$2:$EP$15,40,)</f>
        <v>348</v>
      </c>
      <c r="H38" s="3">
        <f>VLOOKUP($A$2,'Circuit Data2'!$A$2:$EP$15,39,)</f>
        <v>480</v>
      </c>
      <c r="I38" s="3">
        <f>VLOOKUP($A$2,'Circuit Data2'!$A$2:$EP$15,38,)</f>
        <v>480</v>
      </c>
      <c r="J38" s="3">
        <f>VLOOKUP($A$2,'Circuit Data2'!$A$2:$EP$15,37,)</f>
        <v>292</v>
      </c>
      <c r="K38" s="3">
        <f>VLOOKUP($A$2,'Circuit Data2'!$A$2:$EP$15,36,)</f>
        <v>286</v>
      </c>
      <c r="L38" s="3">
        <f>VLOOKUP($A$2,'Circuit Data2'!$A$2:$EP$15,35,)</f>
        <v>288</v>
      </c>
      <c r="M38" s="11">
        <f>VLOOKUP($A$2,'Circuit Data2'!$A$2:$EP$15,41,)</f>
        <v>4</v>
      </c>
    </row>
    <row r="39" spans="1:13" ht="46.5" customHeight="1" x14ac:dyDescent="0.25">
      <c r="A39" s="27"/>
      <c r="B39" s="27"/>
      <c r="C39" s="31"/>
      <c r="D39" s="29" t="s">
        <v>201</v>
      </c>
      <c r="E39" s="29"/>
      <c r="F39" s="29"/>
      <c r="G39" s="3">
        <f>VLOOKUP($A$2,'Circuit Data2'!$A$2:$EP$15,47,)</f>
        <v>253</v>
      </c>
      <c r="H39" s="3">
        <f>VLOOKUP($A$2,'Circuit Data2'!$A$2:$EP$15,46,)</f>
        <v>251</v>
      </c>
      <c r="I39" s="3">
        <f>VLOOKUP($A$2,'Circuit Data2'!$A$2:$EP$15,45,)</f>
        <v>273</v>
      </c>
      <c r="J39" s="3">
        <f>VLOOKUP($A$2,'Circuit Data2'!$A$2:$EP$15,44,)</f>
        <v>278</v>
      </c>
      <c r="K39" s="3">
        <f>VLOOKUP($A$2,'Circuit Data2'!$A$2:$EP$15,43,)</f>
        <v>278</v>
      </c>
      <c r="L39" s="3">
        <f>VLOOKUP($A$2,'Circuit Data2'!$A$2:$EP$15,42,)</f>
        <v>279</v>
      </c>
      <c r="M39" s="12">
        <f>VLOOKUP($A$2,'Circuit Data2'!$A$2:$EP$15,48,)</f>
        <v>10</v>
      </c>
    </row>
    <row r="40" spans="1:13" ht="46.5" customHeight="1" x14ac:dyDescent="0.25">
      <c r="A40" s="27"/>
      <c r="B40" s="27"/>
      <c r="C40" s="31"/>
      <c r="D40" s="29" t="s">
        <v>207</v>
      </c>
      <c r="E40" s="29"/>
      <c r="F40" s="29"/>
      <c r="G40" s="3">
        <f>VLOOKUP($A$2,'Circuit Data2'!$A$2:$EP$15,54,)</f>
        <v>247</v>
      </c>
      <c r="H40" s="3">
        <f>VLOOKUP($A$2,'Circuit Data2'!$A$2:$EP$15,53,)</f>
        <v>242</v>
      </c>
      <c r="I40" s="3">
        <f>VLOOKUP($A$2,'Circuit Data2'!$A$2:$EP$15,52,)</f>
        <v>248</v>
      </c>
      <c r="J40" s="3">
        <f>VLOOKUP($A$2,'Circuit Data2'!$A$2:$EP$15,51,)</f>
        <v>353</v>
      </c>
      <c r="K40" s="14">
        <f>VLOOKUP($A$2,'Circuit Data2'!$A$2:$EP$15,50,)</f>
        <v>342</v>
      </c>
      <c r="L40" s="3">
        <f>VLOOKUP($A$2,'Circuit Data2'!$A$2:$EP$15,49,)</f>
        <v>305</v>
      </c>
      <c r="M40" s="12">
        <f>VLOOKUP($A$2,'Circuit Data2'!$A$2:$EP$15,55,)</f>
        <v>3</v>
      </c>
    </row>
    <row r="41" spans="1:13" ht="46.5" customHeight="1" x14ac:dyDescent="0.25">
      <c r="A41" s="27"/>
      <c r="B41" s="27"/>
      <c r="C41" s="32"/>
      <c r="D41" s="29" t="s">
        <v>204</v>
      </c>
      <c r="E41" s="29"/>
      <c r="F41" s="29"/>
      <c r="G41" s="3">
        <f>VLOOKUP($A$2,'Circuit Data2'!$A$2:$EP$15,61,)</f>
        <v>60</v>
      </c>
      <c r="H41" s="3">
        <f>VLOOKUP($A$2,'Circuit Data2'!$A$2:$EP$15,60,)</f>
        <v>64</v>
      </c>
      <c r="I41" s="3">
        <f>VLOOKUP($A$2,'Circuit Data2'!$A$2:$EP$15,59,)</f>
        <v>61</v>
      </c>
      <c r="J41" s="3">
        <f>VLOOKUP($A$2,'Circuit Data2'!$A$2:$EP$15,58,)</f>
        <v>48</v>
      </c>
      <c r="K41" s="3">
        <f>VLOOKUP($A$2,'Circuit Data2'!$A$2:$EP$15,57,)</f>
        <v>51</v>
      </c>
      <c r="L41" s="3">
        <f>VLOOKUP($A$2,'Circuit Data2'!$A$2:$EP$15,56,)</f>
        <v>55</v>
      </c>
      <c r="M41" s="12">
        <f>VLOOKUP($A$2,'Circuit Data2'!$A$2:$EP$15,62,)</f>
        <v>9</v>
      </c>
    </row>
    <row r="42" spans="1:13" ht="46.5" customHeight="1" x14ac:dyDescent="0.25">
      <c r="A42" s="27"/>
      <c r="B42" s="27"/>
      <c r="C42" s="30" t="s">
        <v>227</v>
      </c>
      <c r="D42" s="33" t="s">
        <v>200</v>
      </c>
      <c r="E42" s="33"/>
      <c r="F42" s="33"/>
      <c r="G42" s="3">
        <f>VLOOKUP($A$2,'Circuit Data2'!$A$2:$EP$15,68,)</f>
        <v>980</v>
      </c>
      <c r="H42" s="3">
        <f>VLOOKUP($A$2,'Circuit Data2'!$A$2:$EP$15,67,)</f>
        <v>934</v>
      </c>
      <c r="I42" s="3">
        <f>VLOOKUP($A$2,'Circuit Data2'!$A$2:$EP$15,66,)</f>
        <v>1056</v>
      </c>
      <c r="J42" s="3">
        <f>VLOOKUP($A$2,'Circuit Data2'!$A$2:$EP$15,65,)</f>
        <v>990</v>
      </c>
      <c r="K42" s="3">
        <f>VLOOKUP($A$2,'Circuit Data2'!$A$2:$EP$15,64,)</f>
        <v>951</v>
      </c>
      <c r="L42" s="3">
        <f>VLOOKUP($A$2,'Circuit Data2'!$A$2:$EP$15,63,)</f>
        <v>1033</v>
      </c>
      <c r="M42" s="13">
        <f>VLOOKUP($A$2,'Circuit Data2'!$A$2:$EP$15,69,)</f>
        <v>5</v>
      </c>
    </row>
    <row r="43" spans="1:13" ht="46.5" customHeight="1" x14ac:dyDescent="0.25">
      <c r="A43" s="27"/>
      <c r="B43" s="27"/>
      <c r="C43" s="31"/>
      <c r="D43" s="23" t="s">
        <v>351</v>
      </c>
      <c r="E43" s="38"/>
      <c r="F43" s="24"/>
      <c r="G43" s="3">
        <f>VLOOKUP($A$2,'Circuit Data2'!$A$2:$EP$15,75,)</f>
        <v>49</v>
      </c>
      <c r="H43" s="15">
        <f>VLOOKUP($A$2,'Circuit Data2'!$A$2:$EP$15,74,)</f>
        <v>35</v>
      </c>
      <c r="I43" s="3">
        <f>VLOOKUP($A$2,'Circuit Data2'!$A$2:$EP$15,73,)</f>
        <v>34</v>
      </c>
      <c r="J43" s="3">
        <f>VLOOKUP($A$2,'Circuit Data2'!$A$2:$EP$15,72,)</f>
        <v>25</v>
      </c>
      <c r="K43" s="3">
        <f>VLOOKUP($A$2,'Circuit Data2'!$A$2:$EP$15,71,)</f>
        <v>24</v>
      </c>
      <c r="L43" s="3">
        <f>VLOOKUP($A$2,'Circuit Data2'!$A$2:$EP$15,70,)</f>
        <v>37</v>
      </c>
      <c r="M43" s="13">
        <f>VLOOKUP($A$2,'Circuit Data2'!$A$2:$EP$15,76,)</f>
        <v>8</v>
      </c>
    </row>
    <row r="44" spans="1:13" ht="46.5" customHeight="1" x14ac:dyDescent="0.25">
      <c r="A44" s="27"/>
      <c r="B44" s="27"/>
      <c r="C44" s="31"/>
      <c r="D44" s="33" t="s">
        <v>205</v>
      </c>
      <c r="E44" s="33"/>
      <c r="F44" s="33"/>
      <c r="G44" s="3">
        <f>VLOOKUP($A$2,'Circuit Data2'!$A$2:$EP$15,82,)</f>
        <v>383</v>
      </c>
      <c r="H44" s="3">
        <f>VLOOKUP($A$2,'Circuit Data2'!$A$2:$EP$15,81,)</f>
        <v>383</v>
      </c>
      <c r="I44" s="3">
        <f>VLOOKUP($A$2,'Circuit Data2'!$A$2:$EP$15,80,)</f>
        <v>437</v>
      </c>
      <c r="J44" s="3">
        <f>VLOOKUP($A$2,'Circuit Data2'!$A$2:$EP$15,79,)</f>
        <v>386</v>
      </c>
      <c r="K44" s="3">
        <f>VLOOKUP($A$2,'Circuit Data2'!$A$2:$EP$15,78,)</f>
        <v>363</v>
      </c>
      <c r="L44" s="3">
        <f>VLOOKUP($A$2,'Circuit Data2'!$A$2:$EP$15,77,)</f>
        <v>320</v>
      </c>
      <c r="M44" s="13">
        <f>VLOOKUP($A$2,'Circuit Data2'!$A$2:$EP$15,83,)</f>
        <v>8</v>
      </c>
    </row>
    <row r="45" spans="1:13" ht="46.5" customHeight="1" x14ac:dyDescent="0.25">
      <c r="A45" s="27"/>
      <c r="B45" s="27"/>
      <c r="C45" s="31"/>
      <c r="D45" s="34" t="s">
        <v>206</v>
      </c>
      <c r="E45" s="29" t="s">
        <v>200</v>
      </c>
      <c r="F45" s="29"/>
      <c r="G45" s="3">
        <f>VLOOKUP($A$2,'Circuit Data2'!$A$2:$EP$15,89,)</f>
        <v>548</v>
      </c>
      <c r="H45" s="3">
        <f>VLOOKUP($A$2,'Circuit Data2'!$A$2:$EP$15,88,)</f>
        <v>516</v>
      </c>
      <c r="I45" s="3">
        <f>VLOOKUP($A$2,'Circuit Data2'!$A$2:$EP$15,87,)</f>
        <v>585</v>
      </c>
      <c r="J45" s="3">
        <f>VLOOKUP($A$2,'Circuit Data2'!$A$2:$EP$15,86,)</f>
        <v>579</v>
      </c>
      <c r="K45" s="3">
        <f>VLOOKUP($A$2,'Circuit Data2'!$A$2:$EP$15,85,)</f>
        <v>564</v>
      </c>
      <c r="L45" s="3">
        <f>VLOOKUP($A$2,'Circuit Data2'!$A$2:$EP$15,84,)</f>
        <v>713</v>
      </c>
      <c r="M45" s="13">
        <f>VLOOKUP($A$2,'Circuit Data2'!$A$2:$EP$15,90,)</f>
        <v>4</v>
      </c>
    </row>
    <row r="46" spans="1:13" ht="46.5" customHeight="1" x14ac:dyDescent="0.25">
      <c r="A46" s="27"/>
      <c r="B46" s="27"/>
      <c r="C46" s="31"/>
      <c r="D46" s="35"/>
      <c r="E46" s="33" t="s">
        <v>203</v>
      </c>
      <c r="F46" s="33"/>
      <c r="G46" s="3">
        <f>VLOOKUP($A$2,'Circuit Data2'!$A$2:$EP$15,96,)</f>
        <v>120</v>
      </c>
      <c r="H46" s="3">
        <f>VLOOKUP($A$2,'Circuit Data2'!$A$2:$EP$15,95,)</f>
        <v>128</v>
      </c>
      <c r="I46" s="3">
        <f>VLOOKUP($A$2,'Circuit Data2'!$A$2:$EP$15,94,)</f>
        <v>197</v>
      </c>
      <c r="J46" s="3">
        <f>VLOOKUP($A$2,'Circuit Data2'!$A$2:$EP$15,93,)</f>
        <v>123</v>
      </c>
      <c r="K46" s="3">
        <f>VLOOKUP($A$2,'Circuit Data2'!$A$2:$EP$15,92,)</f>
        <v>87</v>
      </c>
      <c r="L46" s="3">
        <f>VLOOKUP($A$2,'Circuit Data2'!$A$2:$EP$15,91,)</f>
        <v>122</v>
      </c>
      <c r="M46" s="11">
        <f>VLOOKUP($A$2,'Circuit Data2'!$A$2:$EP$15,97,)</f>
        <v>3</v>
      </c>
    </row>
    <row r="47" spans="1:13" ht="46.5" customHeight="1" x14ac:dyDescent="0.25">
      <c r="A47" s="27"/>
      <c r="B47" s="27"/>
      <c r="C47" s="31"/>
      <c r="D47" s="35"/>
      <c r="E47" s="33" t="s">
        <v>201</v>
      </c>
      <c r="F47" s="33"/>
      <c r="G47" s="3">
        <f>VLOOKUP($A$2,'Circuit Data2'!$A$2:$EP$15,103,)</f>
        <v>172</v>
      </c>
      <c r="H47" s="3">
        <f>VLOOKUP($A$2,'Circuit Data2'!$A$2:$EP$15,102,)</f>
        <v>161</v>
      </c>
      <c r="I47" s="3">
        <f>VLOOKUP($A$2,'Circuit Data2'!$A$2:$EP$15,101,)</f>
        <v>169</v>
      </c>
      <c r="J47" s="3">
        <f>VLOOKUP($A$2,'Circuit Data2'!$A$2:$EP$15,100,)</f>
        <v>171</v>
      </c>
      <c r="K47" s="3">
        <f>VLOOKUP($A$2,'Circuit Data2'!$A$2:$EP$15,99,)</f>
        <v>170</v>
      </c>
      <c r="L47" s="15">
        <f>VLOOKUP($A$2,'Circuit Data2'!$A$2:$EP$15,98,)</f>
        <v>214</v>
      </c>
      <c r="M47" s="13">
        <f>VLOOKUP($A$2,'Circuit Data2'!$A$2:$EP$15,104,)</f>
        <v>8</v>
      </c>
    </row>
    <row r="48" spans="1:13" ht="46.5" customHeight="1" x14ac:dyDescent="0.25">
      <c r="A48" s="27"/>
      <c r="B48" s="27"/>
      <c r="C48" s="31"/>
      <c r="D48" s="35"/>
      <c r="E48" s="29" t="s">
        <v>207</v>
      </c>
      <c r="F48" s="29"/>
      <c r="G48" s="3">
        <f>VLOOKUP($A$2,'Circuit Data2'!$A$2:$EP$15,110,)</f>
        <v>203</v>
      </c>
      <c r="H48" s="3">
        <f>VLOOKUP($A$2,'Circuit Data2'!$A$2:$EP$15,109,)</f>
        <v>183</v>
      </c>
      <c r="I48" s="3">
        <f>VLOOKUP($A$2,'Circuit Data2'!$A$2:$EP$15,108,)</f>
        <v>176</v>
      </c>
      <c r="J48" s="3">
        <f>VLOOKUP($A$2,'Circuit Data2'!$A$2:$EP$15,107,)</f>
        <v>246</v>
      </c>
      <c r="K48" s="3">
        <f>VLOOKUP($A$2,'Circuit Data2'!$A$2:$EP$15,106,)</f>
        <v>273</v>
      </c>
      <c r="L48" s="3">
        <f>VLOOKUP($A$2,'Circuit Data2'!$A$2:$EP$15,105,)</f>
        <v>345</v>
      </c>
      <c r="M48" s="13">
        <f>VLOOKUP($A$2,'Circuit Data2'!$A$2:$EP$15,111,)</f>
        <v>1</v>
      </c>
    </row>
    <row r="49" spans="1:13" ht="46.5" customHeight="1" x14ac:dyDescent="0.25">
      <c r="A49" s="27"/>
      <c r="B49" s="27"/>
      <c r="C49" s="32"/>
      <c r="D49" s="36"/>
      <c r="E49" s="29" t="s">
        <v>204</v>
      </c>
      <c r="F49" s="29"/>
      <c r="G49" s="3">
        <f>VLOOKUP($A$2,'Circuit Data2'!$A$2:$EP$15,117,)</f>
        <v>53</v>
      </c>
      <c r="H49" s="3">
        <f>VLOOKUP($A$2,'Circuit Data2'!$A$2:$EP$15,116,)</f>
        <v>44</v>
      </c>
      <c r="I49" s="3">
        <f>VLOOKUP($A$2,'Circuit Data2'!$A$2:$EP$15,115,)</f>
        <v>43</v>
      </c>
      <c r="J49" s="3">
        <f>VLOOKUP($A$2,'Circuit Data2'!$A$2:$EP$15,114,)</f>
        <v>39</v>
      </c>
      <c r="K49" s="3">
        <f>VLOOKUP($A$2,'Circuit Data2'!$A$2:$EP$15,113,)</f>
        <v>34</v>
      </c>
      <c r="L49" s="3">
        <f>VLOOKUP($A$2,'Circuit Data2'!$A$2:$EP$15,112,)</f>
        <v>32</v>
      </c>
      <c r="M49" s="13">
        <f>VLOOKUP($A$2,'Circuit Data2'!$A$2:$EP$15,118,)</f>
        <v>9</v>
      </c>
    </row>
    <row r="50" spans="1:13" ht="46.5" customHeight="1" x14ac:dyDescent="0.25">
      <c r="A50" s="27"/>
      <c r="B50" s="27"/>
      <c r="C50" s="49" t="s">
        <v>209</v>
      </c>
      <c r="D50" s="50"/>
      <c r="E50" s="50"/>
      <c r="F50" s="51"/>
      <c r="G50" s="3">
        <f>VLOOKUP($A$2,'Circuit Data2'!$A$2:$EP$15,124,)</f>
        <v>559</v>
      </c>
      <c r="H50" s="3">
        <f>VLOOKUP($A$2,'Circuit Data2'!$A$2:$EP$15,123,)</f>
        <v>662</v>
      </c>
      <c r="I50" s="3">
        <f>VLOOKUP($A$2,'Circuit Data2'!$A$2:$EP$15,122,)</f>
        <v>669</v>
      </c>
      <c r="J50" s="3">
        <f>VLOOKUP($A$2,'Circuit Data2'!$A$2:$EP$15,121,)</f>
        <v>646</v>
      </c>
      <c r="K50" s="3">
        <f>VLOOKUP($A$2,'Circuit Data2'!$A$2:$EP$15,120,)</f>
        <v>621</v>
      </c>
      <c r="L50" s="3">
        <f>VLOOKUP($A$2,'Circuit Data2'!$A$2:$EP$15,119,)</f>
        <v>515</v>
      </c>
      <c r="M50" s="13">
        <f>VLOOKUP($A$2,'Circuit Data2'!$A$2:$EP$15,125,)</f>
        <v>9</v>
      </c>
    </row>
    <row r="51" spans="1:13" ht="46.5" customHeight="1" x14ac:dyDescent="0.25">
      <c r="A51" s="8"/>
      <c r="B51" s="46" t="s">
        <v>219</v>
      </c>
      <c r="C51" s="47"/>
      <c r="D51" s="29" t="s">
        <v>220</v>
      </c>
      <c r="E51" s="29"/>
      <c r="F51" s="29"/>
      <c r="G51" s="5">
        <f>VLOOKUP($A$2,'Circuit Data2'!$A$2:$EP$15,131,)</f>
        <v>8.8000000000000007</v>
      </c>
      <c r="H51" s="10">
        <f>VLOOKUP($A$2,'Circuit Data2'!$A$2:$EP$15,130,)</f>
        <v>8.4</v>
      </c>
      <c r="I51" s="5">
        <f>VLOOKUP($A$2,'Circuit Data2'!$A$2:$EP$15,129,)</f>
        <v>8.1999999999999993</v>
      </c>
      <c r="J51" s="5">
        <f>VLOOKUP($A$2,'Circuit Data2'!$A$2:$EP$15,128,)</f>
        <v>9.1</v>
      </c>
      <c r="K51" s="5">
        <f>VLOOKUP($A$2,'Circuit Data2'!$A$2:$EP$15,127,)</f>
        <v>9.5</v>
      </c>
      <c r="L51" s="5">
        <f>VLOOKUP($A$2,'Circuit Data2'!$A$2:$EP$15,126,)</f>
        <v>7.9</v>
      </c>
      <c r="M51" s="12">
        <f>VLOOKUP($A$2,'Circuit Data2'!$A$2:$EP$15,132,)</f>
        <v>2</v>
      </c>
    </row>
    <row r="52" spans="1:13" ht="46.5" customHeight="1" x14ac:dyDescent="0.25">
      <c r="A52" s="8"/>
      <c r="B52" s="46" t="s">
        <v>221</v>
      </c>
      <c r="C52" s="47"/>
      <c r="D52" s="23" t="s">
        <v>222</v>
      </c>
      <c r="E52" s="38"/>
      <c r="F52" s="24"/>
      <c r="G52" s="3">
        <f>VLOOKUP($A$2,'Circuit Data2'!$A$2:$EP$15,138,)</f>
        <v>1</v>
      </c>
      <c r="H52" s="3">
        <f>VLOOKUP($A$2,'Circuit Data2'!$A$2:$EP$15,137,)</f>
        <v>1</v>
      </c>
      <c r="I52" s="3">
        <f>VLOOKUP($A$2,'Circuit Data2'!$A$2:$EP$15,136,)</f>
        <v>3</v>
      </c>
      <c r="J52" s="3">
        <f>VLOOKUP($A$2,'Circuit Data2'!$A$2:$EP$15,135,)</f>
        <v>2</v>
      </c>
      <c r="K52" s="3">
        <f>VLOOKUP($A$2,'Circuit Data2'!$A$2:$EP$15,134,)</f>
        <v>2</v>
      </c>
      <c r="L52" s="3">
        <f>VLOOKUP($A$2,'Circuit Data2'!$A$2:$EP$15,133,)</f>
        <v>2</v>
      </c>
      <c r="M52" s="11">
        <f>VLOOKUP($A$2,'Circuit Data2'!$A$2:$EP$15,139,)</f>
        <v>3</v>
      </c>
    </row>
    <row r="53" spans="1:13" ht="46.5" customHeight="1" x14ac:dyDescent="0.25">
      <c r="A53" s="8"/>
      <c r="B53" s="27"/>
      <c r="C53" s="43"/>
      <c r="D53" s="48" t="s">
        <v>223</v>
      </c>
      <c r="E53" s="48"/>
      <c r="F53" s="48"/>
      <c r="G53" s="3">
        <f>VLOOKUP($A$2,'Circuit Data2'!$A$2:$EP$15,145,)</f>
        <v>97</v>
      </c>
      <c r="H53" s="3">
        <f>VLOOKUP($A$2,'Circuit Data2'!$A$2:$EP$15,144,)</f>
        <v>58</v>
      </c>
      <c r="I53" s="3">
        <f>VLOOKUP($A$2,'Circuit Data2'!$A$2:$EP$15,143,)</f>
        <v>67</v>
      </c>
      <c r="J53" s="3">
        <f>VLOOKUP($A$2,'Circuit Data2'!$A$2:$EP$15,142,)</f>
        <v>63</v>
      </c>
      <c r="K53" s="3">
        <f>VLOOKUP($A$2,'Circuit Data2'!$A$2:$EP$15,141,)</f>
        <v>61</v>
      </c>
      <c r="L53" s="3">
        <f>VLOOKUP($A$2,'Circuit Data2'!$A$2:$EP$15,140,)</f>
        <v>66</v>
      </c>
      <c r="M53" s="11">
        <f>VLOOKUP($A$2,'Circuit Data2'!$A$2:$EP$15,146,)</f>
        <v>4</v>
      </c>
    </row>
    <row r="54" spans="1:13" ht="24.75" customHeight="1" x14ac:dyDescent="0.25">
      <c r="A54" s="37" t="s">
        <v>243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24.75" customHeight="1" x14ac:dyDescent="0.25">
      <c r="A55" s="26" t="s">
        <v>229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33.75" customHeight="1" x14ac:dyDescent="0.25">
      <c r="A56" s="25" t="s">
        <v>352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73">
    <mergeCell ref="A2:F4"/>
    <mergeCell ref="G3:J3"/>
    <mergeCell ref="K3:L3"/>
    <mergeCell ref="A31:F33"/>
    <mergeCell ref="G32:J32"/>
    <mergeCell ref="K32:L32"/>
    <mergeCell ref="D13:F13"/>
    <mergeCell ref="D14:F14"/>
    <mergeCell ref="D15:D20"/>
    <mergeCell ref="E15:F15"/>
    <mergeCell ref="E16:F16"/>
    <mergeCell ref="E17:F17"/>
    <mergeCell ref="E18:F18"/>
    <mergeCell ref="E19:F19"/>
    <mergeCell ref="E20:F20"/>
    <mergeCell ref="D12:F12"/>
    <mergeCell ref="A28:M28"/>
    <mergeCell ref="G1:L1"/>
    <mergeCell ref="G2:L2"/>
    <mergeCell ref="G30:L30"/>
    <mergeCell ref="G31:L31"/>
    <mergeCell ref="K11:L11"/>
    <mergeCell ref="A29:M29"/>
    <mergeCell ref="A5:B21"/>
    <mergeCell ref="C5:C11"/>
    <mergeCell ref="D5:F5"/>
    <mergeCell ref="D6:F6"/>
    <mergeCell ref="D7:F7"/>
    <mergeCell ref="D8:F8"/>
    <mergeCell ref="D9:F9"/>
    <mergeCell ref="D10:F11"/>
    <mergeCell ref="C12:C20"/>
    <mergeCell ref="C21:F21"/>
    <mergeCell ref="A22:C27"/>
    <mergeCell ref="D22:F22"/>
    <mergeCell ref="D23:F23"/>
    <mergeCell ref="D24:D27"/>
    <mergeCell ref="E24:F24"/>
    <mergeCell ref="E25:F25"/>
    <mergeCell ref="E26:F26"/>
    <mergeCell ref="E27:F27"/>
    <mergeCell ref="C50:F50"/>
    <mergeCell ref="D40:F40"/>
    <mergeCell ref="C42:C49"/>
    <mergeCell ref="D42:F42"/>
    <mergeCell ref="C34:C36"/>
    <mergeCell ref="C37:C41"/>
    <mergeCell ref="D37:F37"/>
    <mergeCell ref="D38:F38"/>
    <mergeCell ref="D43:F43"/>
    <mergeCell ref="D44:F44"/>
    <mergeCell ref="A56:M56"/>
    <mergeCell ref="B51:C51"/>
    <mergeCell ref="D51:F51"/>
    <mergeCell ref="B52:C53"/>
    <mergeCell ref="D52:F52"/>
    <mergeCell ref="D53:F53"/>
    <mergeCell ref="A34:B50"/>
    <mergeCell ref="A54:M54"/>
    <mergeCell ref="A55:M55"/>
    <mergeCell ref="M33:M34"/>
    <mergeCell ref="M35:M36"/>
    <mergeCell ref="E48:F48"/>
    <mergeCell ref="E49:F49"/>
    <mergeCell ref="D45:D49"/>
    <mergeCell ref="E45:F45"/>
    <mergeCell ref="E46:F46"/>
    <mergeCell ref="E47:F47"/>
    <mergeCell ref="D34:F34"/>
    <mergeCell ref="D35:F35"/>
    <mergeCell ref="D36:F36"/>
    <mergeCell ref="D39:F39"/>
    <mergeCell ref="D41:F41"/>
  </mergeCells>
  <hyperlinks>
    <hyperlink ref="N1" location="'Select a Circuit'!A1" display="'Select a Circuit'!A1"/>
    <hyperlink ref="A54:L54" r:id="rId1" display="* See &quot;Explanation of the Judicial Caseload Profiles.&quot;"/>
    <hyperlink ref="A55:L55" r:id="rId2" display="** See &quot;Explanation of Selected Terms.&quot;"/>
  </hyperlinks>
  <printOptions horizontalCentered="1" verticalCentered="1"/>
  <pageMargins left="0.14895778652668401" right="0.15125" top="0" bottom="6.6666666666666697E-3" header="0.3" footer="0.3"/>
  <pageSetup scale="65" fitToHeight="2" orientation="portrait" r:id="rId3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Select a Circuit</vt:lpstr>
      <vt:lpstr>Circuit Data</vt:lpstr>
      <vt:lpstr>Circuit Data2</vt:lpstr>
      <vt:lpstr>NATIONAL TOTALS</vt:lpstr>
      <vt:lpstr>DISTRICT OF COLUMBIA</vt:lpstr>
      <vt:lpstr>FIRST CIRCUIT</vt:lpstr>
      <vt:lpstr>SECOND CIRCUIT</vt:lpstr>
      <vt:lpstr>THIRD CIRCUIT</vt:lpstr>
      <vt:lpstr>FOURTH CIRCUIT</vt:lpstr>
      <vt:lpstr>FIFTH CIRCUIT</vt:lpstr>
      <vt:lpstr>SIXTH CIRCUIT</vt:lpstr>
      <vt:lpstr>SEVENTH CIRCUIT</vt:lpstr>
      <vt:lpstr>EIGHTH CIRCUIT</vt:lpstr>
      <vt:lpstr>NINTH CIRCUIT</vt:lpstr>
      <vt:lpstr>TENTH CIRCUIT</vt:lpstr>
      <vt:lpstr>ELEVENTH CIRCUIT</vt:lpstr>
      <vt:lpstr>'Circuit Data'!Appeals_FCMS_Page_1</vt:lpstr>
      <vt:lpstr>'Circuit Data2'!Appeals_FCMS_Page_2</vt:lpstr>
      <vt:lpstr>'Circuit Data'!Appeals_Page_1_June_2011</vt:lpstr>
      <vt:lpstr>'Circuit Data2'!Appeals_Page_2_June_2011_1</vt:lpstr>
      <vt:lpstr>'Circuit Data'!BTS.MARPG1revised</vt:lpstr>
      <vt:lpstr>'Circuit Data2'!BTS.MARPG2revised</vt:lpstr>
      <vt:lpstr>'DISTRICT OF COLUMBIA'!Print_Area</vt:lpstr>
      <vt:lpstr>'EIGHTH CIRCUIT'!Print_Area</vt:lpstr>
      <vt:lpstr>'ELEVENTH CIRCUIT'!Print_Area</vt:lpstr>
      <vt:lpstr>'FIFTH CIRCUIT'!Print_Area</vt:lpstr>
      <vt:lpstr>'FIRST CIRCUIT'!Print_Area</vt:lpstr>
      <vt:lpstr>'FOURTH CIRCUIT'!Print_Area</vt:lpstr>
      <vt:lpstr>'NATIONAL TOTALS'!Print_Area</vt:lpstr>
      <vt:lpstr>'NINTH CIRCUIT'!Print_Area</vt:lpstr>
      <vt:lpstr>'SECOND CIRCUIT'!Print_Area</vt:lpstr>
      <vt:lpstr>'SEVENTH CIRCUIT'!Print_Area</vt:lpstr>
      <vt:lpstr>'SIXTH CIRCUIT'!Print_Area</vt:lpstr>
      <vt:lpstr>'TENTH CIRCUIT'!Print_Area</vt:lpstr>
      <vt:lpstr>'THIRD CIRCUIT'!Print_Area</vt:lpstr>
    </vt:vector>
  </TitlesOfParts>
  <Company>aousc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AOUSC</cp:lastModifiedBy>
  <cp:lastPrinted>2012-10-31T17:00:07Z</cp:lastPrinted>
  <dcterms:created xsi:type="dcterms:W3CDTF">2011-04-12T16:13:22Z</dcterms:created>
  <dcterms:modified xsi:type="dcterms:W3CDTF">2012-11-02T19:36:26Z</dcterms:modified>
</cp:coreProperties>
</file>