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Quarter Close Tables\Federal Circuit\December\Dec 2023\"/>
    </mc:Choice>
  </mc:AlternateContent>
  <xr:revisionPtr revIDLastSave="0" documentId="13_ncr:1_{D33C083F-E0FF-4E0E-9F64-DD38EB1F8512}" xr6:coauthVersionLast="47" xr6:coauthVersionMax="47" xr10:uidLastSave="{00000000-0000-0000-0000-000000000000}"/>
  <bookViews>
    <workbookView xWindow="-120" yWindow="-120" windowWidth="29040" windowHeight="15840" xr2:uid="{4A63D2D0-8682-4F82-BAB3-5F2192819CCC}"/>
  </bookViews>
  <sheets>
    <sheet name="Formatted Report" sheetId="1" r:id="rId1"/>
  </sheets>
  <externalReferences>
    <externalReference r:id="rId2"/>
  </externalReferences>
  <definedNames>
    <definedName name="_xlnm.Print_Area" localSheetId="0">'Formatted Report'!$A$1:$V$37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1" l="1"/>
  <c r="O26" i="1"/>
  <c r="L26" i="1"/>
  <c r="I26" i="1" s="1"/>
  <c r="F26" i="1"/>
  <c r="C26" i="1"/>
  <c r="R25" i="1"/>
  <c r="O25" i="1"/>
  <c r="L25" i="1"/>
  <c r="F25" i="1"/>
  <c r="C25" i="1"/>
  <c r="R24" i="1"/>
  <c r="O24" i="1"/>
  <c r="L24" i="1"/>
  <c r="I24" i="1" s="1"/>
  <c r="F24" i="1"/>
  <c r="C24" i="1"/>
  <c r="R23" i="1"/>
  <c r="O23" i="1"/>
  <c r="L23" i="1"/>
  <c r="I23" i="1"/>
  <c r="F23" i="1"/>
  <c r="C23" i="1"/>
  <c r="R22" i="1"/>
  <c r="O22" i="1"/>
  <c r="L22" i="1"/>
  <c r="I22" i="1" s="1"/>
  <c r="F22" i="1"/>
  <c r="C22" i="1"/>
  <c r="R21" i="1"/>
  <c r="O21" i="1"/>
  <c r="L21" i="1"/>
  <c r="F21" i="1"/>
  <c r="C21" i="1"/>
  <c r="R20" i="1"/>
  <c r="O20" i="1"/>
  <c r="L20" i="1"/>
  <c r="I20" i="1" s="1"/>
  <c r="F20" i="1"/>
  <c r="C20" i="1"/>
  <c r="U20" i="1" s="1"/>
  <c r="R19" i="1"/>
  <c r="O19" i="1"/>
  <c r="L19" i="1"/>
  <c r="I19" i="1" s="1"/>
  <c r="F19" i="1"/>
  <c r="C19" i="1"/>
  <c r="R18" i="1"/>
  <c r="O18" i="1"/>
  <c r="L18" i="1"/>
  <c r="I18" i="1"/>
  <c r="F18" i="1"/>
  <c r="C18" i="1"/>
  <c r="R17" i="1"/>
  <c r="O17" i="1"/>
  <c r="L17" i="1"/>
  <c r="I17" i="1" s="1"/>
  <c r="F17" i="1"/>
  <c r="C17" i="1"/>
  <c r="R16" i="1"/>
  <c r="O16" i="1"/>
  <c r="L16" i="1"/>
  <c r="F16" i="1"/>
  <c r="C16" i="1"/>
  <c r="R15" i="1"/>
  <c r="O15" i="1"/>
  <c r="L15" i="1"/>
  <c r="I15" i="1"/>
  <c r="U15" i="1" s="1"/>
  <c r="F15" i="1"/>
  <c r="C15" i="1"/>
  <c r="R14" i="1"/>
  <c r="O14" i="1"/>
  <c r="L14" i="1"/>
  <c r="I14" i="1" s="1"/>
  <c r="F14" i="1"/>
  <c r="C14" i="1"/>
  <c r="R13" i="1"/>
  <c r="O13" i="1"/>
  <c r="L13" i="1"/>
  <c r="I13" i="1" s="1"/>
  <c r="F13" i="1"/>
  <c r="C13" i="1"/>
  <c r="U13" i="1" s="1"/>
  <c r="R12" i="1"/>
  <c r="O12" i="1"/>
  <c r="L12" i="1"/>
  <c r="L10" i="1" s="1"/>
  <c r="F12" i="1"/>
  <c r="C12" i="1"/>
  <c r="R10" i="1"/>
  <c r="A4" i="1"/>
  <c r="U19" i="1" l="1"/>
  <c r="O10" i="1"/>
  <c r="U14" i="1"/>
  <c r="I25" i="1"/>
  <c r="I21" i="1"/>
  <c r="U21" i="1" s="1"/>
  <c r="F10" i="1"/>
  <c r="U23" i="1"/>
  <c r="U26" i="1"/>
  <c r="I16" i="1"/>
  <c r="U22" i="1"/>
  <c r="U18" i="1"/>
  <c r="U17" i="1"/>
  <c r="U24" i="1"/>
  <c r="U16" i="1"/>
  <c r="U25" i="1"/>
  <c r="C10" i="1"/>
  <c r="I12" i="1"/>
  <c r="I10" i="1" l="1"/>
  <c r="U12" i="1"/>
  <c r="U10" i="1" s="1"/>
</calcChain>
</file>

<file path=xl/sharedStrings.xml><?xml version="1.0" encoding="utf-8"?>
<sst xmlns="http://schemas.openxmlformats.org/spreadsheetml/2006/main" count="30" uniqueCount="30">
  <si>
    <t>Table B-8.</t>
  </si>
  <si>
    <t xml:space="preserve">U.S. Court of Appeals for the Federal Circuit—Appeals Filed, Terminated, and Pending </t>
  </si>
  <si>
    <t>Sources of Appeals</t>
  </si>
  <si>
    <t>Pending
Beginning
of Period</t>
  </si>
  <si>
    <t>Filed</t>
  </si>
  <si>
    <t>Terminated</t>
  </si>
  <si>
    <t>Pending
End
of Period</t>
  </si>
  <si>
    <t>Total</t>
  </si>
  <si>
    <t>By Judges</t>
  </si>
  <si>
    <t>Other</t>
  </si>
  <si>
    <t>Percent
Reversed</t>
  </si>
  <si>
    <t xml:space="preserve">     Total</t>
  </si>
  <si>
    <t>Board of Contract Appeals</t>
  </si>
  <si>
    <t>Board of Immigration Appeals</t>
  </si>
  <si>
    <t>U.S. Court of International Trade</t>
  </si>
  <si>
    <t>U.S. Court of Federal Claims</t>
  </si>
  <si>
    <t>U.S. Court of Appeals for Veterans Claims</t>
  </si>
  <si>
    <t>U.S. District Courts</t>
  </si>
  <si>
    <r>
      <t xml:space="preserve">Department of Justice </t>
    </r>
    <r>
      <rPr>
        <vertAlign val="superscript"/>
        <sz val="8"/>
        <color theme="1"/>
        <rFont val="Arial"/>
        <family val="2"/>
      </rPr>
      <t>1</t>
    </r>
  </si>
  <si>
    <t>Department of Veterans Affairs</t>
  </si>
  <si>
    <t>Environmental Protection Agency</t>
  </si>
  <si>
    <t>International Trade Commission</t>
  </si>
  <si>
    <t>Merit Systems Protection Board</t>
  </si>
  <si>
    <t>Office of Compliance</t>
  </si>
  <si>
    <t>Office of Health and Safety</t>
  </si>
  <si>
    <t>Patent and Trademark Office</t>
  </si>
  <si>
    <r>
      <t xml:space="preserve">Petitions for Writ </t>
    </r>
    <r>
      <rPr>
        <vertAlign val="superscript"/>
        <sz val="8"/>
        <color theme="1"/>
        <rFont val="Arial"/>
        <family val="2"/>
      </rPr>
      <t>2</t>
    </r>
  </si>
  <si>
    <t>NOTE: This report is furnished by the United States Court of Appeals for the Federal Circuit.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</si>
  <si>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See 34 U.S. Code § 10287, regarding the court’s jurisdiction to review final decisions of the Department of Justice, Bureau of Justice Assistance, concerning claims for benefits under the Public Safety Officers’ Benefits Act.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</si>
  <si>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This category includes petitions for writs of mandamus, other extraordinary writs, permission to appeal, and discretionary review.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</si>
</sst>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164" fontId="2" fillId="0" borderId="0" xfId="1" applyNumberFormat="1" applyFont="1" applyAlignment="1"/>
    <xf numFmtId="0" fontId="4" fillId="0" borderId="0" xfId="0" applyFont="1"/>
    <xf numFmtId="164" fontId="4" fillId="0" borderId="0" xfId="1" applyNumberFormat="1" applyFont="1" applyAlignment="1">
      <alignment horizontal="right" wrapText="1"/>
    </xf>
    <xf numFmtId="164" fontId="2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164" fontId="2" fillId="0" borderId="0" xfId="1" applyNumberFormat="1" applyFont="1" applyFill="1" applyAlignment="1">
      <alignment horizontal="right" wrapText="1"/>
    </xf>
    <xf numFmtId="164" fontId="4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 applyProtection="1">
      <alignment horizontal="right" wrapText="1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22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7EDE46A-54FA-4939-A2A8-DB87CE8BD7C4}"/>
            </a:ext>
          </a:extLst>
        </xdr:cNvPr>
        <xdr:cNvCxnSpPr/>
      </xdr:nvCxnSpPr>
      <xdr:spPr>
        <a:xfrm>
          <a:off x="28574" y="47625"/>
          <a:ext cx="8353426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Quarter%20Close%20Tables\Federal%20Circuit\December\Dec%202023\Table%20B-8%20Template%20Dec%202023.xlsx" TargetMode="External"/><Relationship Id="rId1" Type="http://schemas.openxmlformats.org/officeDocument/2006/relationships/externalLinkPath" Target="Table%20B-8%20Template%20Dec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cument History"/>
      <sheetName val="Instructions"/>
      <sheetName val="Formatted Report"/>
      <sheetName val="Raw Data - Table B-8"/>
    </sheetNames>
    <sheetDataSet>
      <sheetData sheetId="0"/>
      <sheetData sheetId="1"/>
      <sheetData sheetId="2"/>
      <sheetData sheetId="3">
        <row r="3">
          <cell r="A3" t="str">
            <v>During the Twelve-Month Period Ended December 31, 2023</v>
          </cell>
        </row>
        <row r="7">
          <cell r="A7" t="str">
            <v>Source of Appeals</v>
          </cell>
          <cell r="B7">
            <v>44927</v>
          </cell>
          <cell r="C7" t="str">
            <v>Filed</v>
          </cell>
          <cell r="D7" t="str">
            <v>Total</v>
          </cell>
          <cell r="E7" t="str">
            <v>Judges</v>
          </cell>
          <cell r="F7" t="str">
            <v>Other</v>
          </cell>
          <cell r="G7" t="str">
            <v>Reversed</v>
          </cell>
          <cell r="H7">
            <v>45291</v>
          </cell>
        </row>
        <row r="8">
          <cell r="A8" t="str">
            <v>Total</v>
          </cell>
          <cell r="B8">
            <v>1439</v>
          </cell>
          <cell r="C8">
            <v>1516</v>
          </cell>
          <cell r="D8">
            <v>1323</v>
          </cell>
          <cell r="E8">
            <v>976</v>
          </cell>
          <cell r="F8">
            <v>347</v>
          </cell>
          <cell r="G8">
            <v>10</v>
          </cell>
          <cell r="H8">
            <v>1632</v>
          </cell>
        </row>
        <row r="9">
          <cell r="A9" t="str">
            <v>Board of Contract Appeals</v>
          </cell>
          <cell r="B9">
            <v>16</v>
          </cell>
          <cell r="C9">
            <v>28</v>
          </cell>
          <cell r="D9">
            <v>13</v>
          </cell>
          <cell r="E9">
            <v>7</v>
          </cell>
          <cell r="F9">
            <v>6</v>
          </cell>
          <cell r="G9">
            <v>43</v>
          </cell>
          <cell r="H9">
            <v>31</v>
          </cell>
        </row>
        <row r="10">
          <cell r="A10" t="str">
            <v>Board of Immigration Appeals</v>
          </cell>
          <cell r="B10">
            <v>0</v>
          </cell>
          <cell r="C10">
            <v>1</v>
          </cell>
          <cell r="D10">
            <v>1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</row>
        <row r="11">
          <cell r="A11" t="str">
            <v>U.S. Court of International Trade</v>
          </cell>
          <cell r="B11">
            <v>48</v>
          </cell>
          <cell r="C11">
            <v>44</v>
          </cell>
          <cell r="D11">
            <v>32</v>
          </cell>
          <cell r="E11">
            <v>24</v>
          </cell>
          <cell r="F11">
            <v>8</v>
          </cell>
          <cell r="G11">
            <v>33</v>
          </cell>
          <cell r="H11">
            <v>60</v>
          </cell>
        </row>
        <row r="12">
          <cell r="A12" t="str">
            <v>U.S. Court of Federal Claims</v>
          </cell>
          <cell r="B12">
            <v>121</v>
          </cell>
          <cell r="C12">
            <v>160</v>
          </cell>
          <cell r="D12">
            <v>127</v>
          </cell>
          <cell r="E12">
            <v>92</v>
          </cell>
          <cell r="F12">
            <v>35</v>
          </cell>
          <cell r="G12">
            <v>14</v>
          </cell>
          <cell r="H12">
            <v>154</v>
          </cell>
        </row>
        <row r="13">
          <cell r="A13" t="str">
            <v>U.S. Court of Appeals for Veterans Claims</v>
          </cell>
          <cell r="B13">
            <v>129</v>
          </cell>
          <cell r="C13">
            <v>162</v>
          </cell>
          <cell r="D13">
            <v>126</v>
          </cell>
          <cell r="E13">
            <v>93</v>
          </cell>
          <cell r="F13">
            <v>33</v>
          </cell>
          <cell r="G13">
            <v>6</v>
          </cell>
          <cell r="H13">
            <v>165</v>
          </cell>
        </row>
        <row r="14">
          <cell r="A14" t="str">
            <v>U.S. District Courts</v>
          </cell>
          <cell r="B14">
            <v>349</v>
          </cell>
          <cell r="C14">
            <v>330</v>
          </cell>
          <cell r="D14">
            <v>298</v>
          </cell>
          <cell r="E14">
            <v>219</v>
          </cell>
          <cell r="F14">
            <v>79</v>
          </cell>
          <cell r="G14">
            <v>8</v>
          </cell>
          <cell r="H14">
            <v>381</v>
          </cell>
        </row>
        <row r="15">
          <cell r="A15" t="str">
            <v>Department of Justice</v>
          </cell>
          <cell r="B15">
            <v>0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</row>
        <row r="16">
          <cell r="A16" t="str">
            <v>Department of Veterans Affairs</v>
          </cell>
          <cell r="B16">
            <v>2</v>
          </cell>
          <cell r="C16">
            <v>5</v>
          </cell>
          <cell r="D16">
            <v>2</v>
          </cell>
          <cell r="E16">
            <v>2</v>
          </cell>
          <cell r="F16">
            <v>0</v>
          </cell>
          <cell r="G16">
            <v>0</v>
          </cell>
          <cell r="H16">
            <v>5</v>
          </cell>
        </row>
        <row r="17">
          <cell r="A17" t="str">
            <v>Environmental Protection Agency</v>
          </cell>
          <cell r="B17">
            <v>1</v>
          </cell>
          <cell r="C17">
            <v>0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International Trade Commission</v>
          </cell>
          <cell r="B18">
            <v>23</v>
          </cell>
          <cell r="C18">
            <v>13</v>
          </cell>
          <cell r="D18">
            <v>13</v>
          </cell>
          <cell r="E18">
            <v>7</v>
          </cell>
          <cell r="F18">
            <v>6</v>
          </cell>
          <cell r="G18">
            <v>0</v>
          </cell>
          <cell r="H18">
            <v>23</v>
          </cell>
        </row>
        <row r="19">
          <cell r="A19" t="str">
            <v>Merit Systems Protection Board</v>
          </cell>
          <cell r="B19">
            <v>111</v>
          </cell>
          <cell r="C19">
            <v>211</v>
          </cell>
          <cell r="D19">
            <v>190</v>
          </cell>
          <cell r="E19">
            <v>137</v>
          </cell>
          <cell r="F19">
            <v>53</v>
          </cell>
          <cell r="G19">
            <v>5</v>
          </cell>
          <cell r="H19">
            <v>132</v>
          </cell>
        </row>
        <row r="20">
          <cell r="A20" t="str">
            <v>Office of Compliance</v>
          </cell>
          <cell r="B20">
            <v>3</v>
          </cell>
          <cell r="C20">
            <v>0</v>
          </cell>
          <cell r="D20">
            <v>1</v>
          </cell>
          <cell r="E20">
            <v>1</v>
          </cell>
          <cell r="F20">
            <v>0</v>
          </cell>
          <cell r="G20">
            <v>0</v>
          </cell>
          <cell r="H20">
            <v>2</v>
          </cell>
        </row>
        <row r="21">
          <cell r="A21" t="str">
            <v>Office of Health and Safety</v>
          </cell>
          <cell r="B21">
            <v>1</v>
          </cell>
          <cell r="C21">
            <v>0</v>
          </cell>
          <cell r="D21">
            <v>1</v>
          </cell>
          <cell r="E21">
            <v>1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Patent &amp; Trademark Office</v>
          </cell>
          <cell r="B22">
            <v>624</v>
          </cell>
          <cell r="C22">
            <v>514</v>
          </cell>
          <cell r="D22">
            <v>465</v>
          </cell>
          <cell r="E22">
            <v>346</v>
          </cell>
          <cell r="F22">
            <v>119</v>
          </cell>
          <cell r="G22">
            <v>9</v>
          </cell>
          <cell r="H22">
            <v>673</v>
          </cell>
        </row>
        <row r="23">
          <cell r="A23" t="str">
            <v>Writs*</v>
          </cell>
          <cell r="B23">
            <v>11</v>
          </cell>
          <cell r="C23">
            <v>47</v>
          </cell>
          <cell r="D23">
            <v>53</v>
          </cell>
          <cell r="E23">
            <v>45</v>
          </cell>
          <cell r="F23">
            <v>8</v>
          </cell>
          <cell r="G23">
            <v>0</v>
          </cell>
          <cell r="H23">
            <v>5</v>
          </cell>
        </row>
        <row r="26">
          <cell r="A26" t="str">
            <v>*THIS CATEGORY INCLUDES WRITS OF MANDAMUS, OTHER EXTRAORDINARY WRITS, PETITIONS FOR PERMISSION TO APPEAL, AND DISCRETIONARY PETITIONS FOR REVIEW.</v>
          </cell>
        </row>
        <row r="27">
          <cell r="A27" t="str">
            <v xml:space="preserve">NOTE: The numbers found in the parentheticals explain the difference between the current and previous quarter.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8B003-1757-49B5-BBC0-01EC52D8B26A}">
  <dimension ref="A1:V32"/>
  <sheetViews>
    <sheetView showGridLines="0" tabSelected="1" zoomScaleNormal="100" workbookViewId="0">
      <selection activeCell="C48" sqref="C48"/>
    </sheetView>
  </sheetViews>
  <sheetFormatPr defaultRowHeight="11.25" x14ac:dyDescent="0.2"/>
  <cols>
    <col min="1" max="1" width="33.7109375" style="1" customWidth="1"/>
    <col min="2" max="2" width="2.7109375" style="1" customWidth="1"/>
    <col min="3" max="3" width="7.7109375" style="1" customWidth="1"/>
    <col min="4" max="5" width="2.7109375" style="1" customWidth="1"/>
    <col min="6" max="6" width="7.7109375" style="1" customWidth="1"/>
    <col min="7" max="8" width="2.7109375" style="1" customWidth="1"/>
    <col min="9" max="9" width="7.7109375" style="1" customWidth="1"/>
    <col min="10" max="11" width="2.7109375" style="1" customWidth="1"/>
    <col min="12" max="12" width="7.7109375" style="1" customWidth="1"/>
    <col min="13" max="14" width="2.7109375" style="1" customWidth="1"/>
    <col min="15" max="15" width="7.7109375" style="1" customWidth="1"/>
    <col min="16" max="17" width="2.7109375" style="1" customWidth="1"/>
    <col min="18" max="18" width="7.7109375" style="1" customWidth="1"/>
    <col min="19" max="20" width="2.7109375" style="1" customWidth="1"/>
    <col min="21" max="21" width="7.7109375" style="1" customWidth="1"/>
    <col min="22" max="22" width="2.7109375" style="1" customWidth="1"/>
    <col min="23" max="16384" width="9.140625" style="1"/>
  </cols>
  <sheetData>
    <row r="1" spans="1:22" ht="12" customHeight="1" x14ac:dyDescent="0.2"/>
    <row r="2" spans="1:22" ht="13.5" customHeight="1" x14ac:dyDescent="0.2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ht="13.5" customHeight="1" x14ac:dyDescent="0.2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2" ht="13.5" customHeight="1" x14ac:dyDescent="0.2">
      <c r="A4" s="26" t="str">
        <f>REPLACE(REPLACE('[1]Raw Data - Table B-8'!A3,12,6,12),28,5,"Ending")</f>
        <v>During the 12-Month Period Ending December 31, 2023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ht="13.5" customHeight="1" x14ac:dyDescent="0.2"/>
    <row r="6" spans="1:22" ht="15" customHeight="1" x14ac:dyDescent="0.2">
      <c r="A6" s="27" t="s">
        <v>2</v>
      </c>
      <c r="B6" s="28" t="s">
        <v>3</v>
      </c>
      <c r="C6" s="27"/>
      <c r="D6" s="29"/>
      <c r="E6" s="28" t="s">
        <v>4</v>
      </c>
      <c r="F6" s="27"/>
      <c r="G6" s="29"/>
      <c r="H6" s="30" t="s">
        <v>5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2"/>
      <c r="T6" s="28" t="s">
        <v>6</v>
      </c>
      <c r="U6" s="27"/>
      <c r="V6" s="29"/>
    </row>
    <row r="7" spans="1:22" ht="27" customHeight="1" x14ac:dyDescent="0.2">
      <c r="A7" s="21"/>
      <c r="B7" s="20"/>
      <c r="C7" s="21"/>
      <c r="D7" s="22"/>
      <c r="E7" s="20"/>
      <c r="F7" s="21"/>
      <c r="G7" s="22"/>
      <c r="H7" s="20" t="s">
        <v>7</v>
      </c>
      <c r="I7" s="21"/>
      <c r="J7" s="22"/>
      <c r="K7" s="20" t="s">
        <v>8</v>
      </c>
      <c r="L7" s="21"/>
      <c r="M7" s="22"/>
      <c r="N7" s="20" t="s">
        <v>9</v>
      </c>
      <c r="O7" s="21"/>
      <c r="P7" s="22"/>
      <c r="Q7" s="23" t="s">
        <v>10</v>
      </c>
      <c r="R7" s="21"/>
      <c r="S7" s="22"/>
      <c r="T7" s="20"/>
      <c r="U7" s="21"/>
      <c r="V7" s="22"/>
    </row>
    <row r="8" spans="1:22" ht="3.75" customHeight="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1.2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11.25" customHeight="1" x14ac:dyDescent="0.2">
      <c r="A10" s="6" t="s">
        <v>11</v>
      </c>
      <c r="B10" s="5"/>
      <c r="C10" s="7">
        <f>IF(SUM(C12:C26)=VLOOKUP(TRIM($A10),'[1]Raw Data - Table B-8'!$A$7:$O$36,2,FALSE),SUM(C12:C26),"ERROR")</f>
        <v>1439</v>
      </c>
      <c r="D10" s="8"/>
      <c r="E10" s="8"/>
      <c r="F10" s="7">
        <f>IF(SUM(F12:F26)=VLOOKUP(TRIM($A10),'[1]Raw Data - Table B-8'!$A$7:$O$36,3,FALSE),SUM(F12:F26),"ERROR")</f>
        <v>1516</v>
      </c>
      <c r="G10" s="9"/>
      <c r="H10" s="9"/>
      <c r="I10" s="10">
        <f>IF(SUM(I12:I26)=VLOOKUP(TRIM($A10),'[1]Raw Data - Table B-8'!$A$7:$O$36,4,FALSE),IF(SUM(I12:I26)=(L10+O10),(L10+O10),"ERROR"),"ERROR")</f>
        <v>1323</v>
      </c>
      <c r="J10" s="8"/>
      <c r="K10" s="8"/>
      <c r="L10" s="10">
        <f>IF(SUM(L12:L26)=VLOOKUP(TRIM($A10),'[1]Raw Data - Table B-8'!$A$7:$O$36,5,FALSE),SUM(L12:L26),"ERROR")</f>
        <v>976</v>
      </c>
      <c r="M10" s="8"/>
      <c r="N10" s="8"/>
      <c r="O10" s="10">
        <f>IF(SUM(O12:O26)=VLOOKUP(TRIM($A10),'[1]Raw Data - Table B-8'!$A$7:$O$36,6,FALSE),SUM(O12:O26),"ERROR")</f>
        <v>347</v>
      </c>
      <c r="P10" s="11"/>
      <c r="Q10" s="11"/>
      <c r="R10" s="12">
        <f>VALUE(VLOOKUP(TRIM($A10),'[1]Raw Data - Table B-8'!$A$7:$O$36,7,FALSE))</f>
        <v>10</v>
      </c>
      <c r="S10" s="8"/>
      <c r="T10" s="8"/>
      <c r="U10" s="10">
        <f>IF(SUM(U12:U26)=VLOOKUP(TRIM($A10),'[1]Raw Data - Table B-8'!$A$7:$O$36,8,FALSE),IF((C10+F10-I10)=SUM(U12:U26),SUM(U12:U26),"ERROR"),"ERROR")</f>
        <v>1632</v>
      </c>
      <c r="V10" s="5"/>
    </row>
    <row r="11" spans="1:22" ht="11.25" customHeight="1" x14ac:dyDescent="0.2">
      <c r="B11" s="5"/>
      <c r="C11" s="8"/>
      <c r="D11" s="8"/>
      <c r="E11" s="8"/>
      <c r="F11" s="9"/>
      <c r="G11" s="9"/>
      <c r="H11" s="9"/>
      <c r="I11" s="11"/>
      <c r="J11" s="8"/>
      <c r="K11" s="8"/>
      <c r="L11" s="8"/>
      <c r="M11" s="8"/>
      <c r="N11" s="8"/>
      <c r="O11" s="11"/>
      <c r="P11" s="11"/>
      <c r="Q11" s="11"/>
      <c r="R11" s="11"/>
      <c r="S11" s="8"/>
      <c r="T11" s="8"/>
      <c r="U11" s="11"/>
      <c r="V11" s="5"/>
    </row>
    <row r="12" spans="1:22" ht="11.25" customHeight="1" x14ac:dyDescent="0.2">
      <c r="A12" s="1" t="s">
        <v>12</v>
      </c>
      <c r="B12" s="13"/>
      <c r="C12" s="14">
        <f>IF(VLOOKUP($A12,'[1]Raw Data - Table B-8'!$A$7:$O$36,2,FALSE)=0,0,VLOOKUP($A12,'[1]Raw Data - Table B-8'!$A$7:$O$36,2,FALSE))</f>
        <v>16</v>
      </c>
      <c r="D12" s="9"/>
      <c r="E12" s="9"/>
      <c r="F12" s="8">
        <f>IF(VLOOKUP($A12,'[1]Raw Data - Table B-8'!$A$7:$O$36,3,FALSE)=0,0,VLOOKUP($A12,'[1]Raw Data - Table B-8'!$A$7:$O$36,3,FALSE))</f>
        <v>28</v>
      </c>
      <c r="G12" s="11"/>
      <c r="H12" s="11"/>
      <c r="I12" s="8">
        <f>IF(VALUE(VLOOKUP($A12,'[1]Raw Data - Table B-8'!$A$7:$O$36,4,FALSE))=SUM(L12,O12),SUM(L12,O12),"ERROR")</f>
        <v>13</v>
      </c>
      <c r="J12" s="11"/>
      <c r="K12" s="11"/>
      <c r="L12" s="8">
        <f>IF(VLOOKUP($A12,'[1]Raw Data - Table B-8'!$A$7:$O$36,5,FALSE)=0,0,VLOOKUP($A12,'[1]Raw Data - Table B-8'!$A$7:$O$36,5,FALSE))</f>
        <v>7</v>
      </c>
      <c r="M12" s="11"/>
      <c r="N12" s="11"/>
      <c r="O12" s="8">
        <f>IF(VLOOKUP($A12,'[1]Raw Data - Table B-8'!$A$7:$O$36,6,FALSE)=0,0,VLOOKUP($A12,'[1]Raw Data - Table B-8'!$A$7:$O$36,6,FALSE))</f>
        <v>6</v>
      </c>
      <c r="P12" s="11"/>
      <c r="Q12" s="11"/>
      <c r="R12" s="8">
        <f>IF(VALUE(VLOOKUP($A12,'[1]Raw Data - Table B-8'!$A$7:$O$36,7,FALSE))=0,0,VALUE(VLOOKUP($A12,'[1]Raw Data - Table B-8'!$A$7:$O$36,7,FALSE)))</f>
        <v>43</v>
      </c>
      <c r="S12" s="11"/>
      <c r="T12" s="11"/>
      <c r="U12" s="11">
        <f>IF(VALUE(VLOOKUP($A12,'[1]Raw Data - Table B-8'!$A$7:$O$36,8,FALSE))=(C12+F12-I12),(C12+F12-I12),"ERROR")</f>
        <v>31</v>
      </c>
      <c r="V12" s="13"/>
    </row>
    <row r="13" spans="1:22" ht="11.25" customHeight="1" x14ac:dyDescent="0.2">
      <c r="A13" s="1" t="s">
        <v>13</v>
      </c>
      <c r="B13" s="13"/>
      <c r="C13" s="14">
        <f>IF(VLOOKUP($A13,'[1]Raw Data - Table B-8'!$A$7:$O$36,2,FALSE)=0,0,VLOOKUP($A13,'[1]Raw Data - Table B-8'!$A$7:$O$36,2,FALSE))</f>
        <v>0</v>
      </c>
      <c r="D13" s="9"/>
      <c r="E13" s="9"/>
      <c r="F13" s="8">
        <f>IF(VLOOKUP($A13,'[1]Raw Data - Table B-8'!$A$7:$O$36,3,FALSE)=0,0,VLOOKUP($A13,'[1]Raw Data - Table B-8'!$A$7:$O$36,3,FALSE))</f>
        <v>1</v>
      </c>
      <c r="G13" s="11"/>
      <c r="H13" s="11"/>
      <c r="I13" s="8">
        <f>IF(VALUE(VLOOKUP($A13,'[1]Raw Data - Table B-8'!$A$7:$O$36,4,FALSE))=SUM(L13,O13),SUM(L13,O13),"ERROR")</f>
        <v>1</v>
      </c>
      <c r="J13" s="11"/>
      <c r="K13" s="11"/>
      <c r="L13" s="8">
        <f>IF(VLOOKUP($A13,'[1]Raw Data - Table B-8'!$A$7:$O$36,5,FALSE)=0,0,VLOOKUP($A13,'[1]Raw Data - Table B-8'!$A$7:$O$36,5,FALSE))</f>
        <v>1</v>
      </c>
      <c r="M13" s="11"/>
      <c r="N13" s="11"/>
      <c r="O13" s="8">
        <f>IF(VLOOKUP($A13,'[1]Raw Data - Table B-8'!$A$7:$O$36,6,FALSE)=0,0,VLOOKUP($A13,'[1]Raw Data - Table B-8'!$A$7:$O$36,6,FALSE))</f>
        <v>0</v>
      </c>
      <c r="P13" s="11"/>
      <c r="Q13" s="11"/>
      <c r="R13" s="8">
        <f>IF(VALUE(VLOOKUP($A13,'[1]Raw Data - Table B-8'!$A$7:$O$36,7,FALSE))=0,0,VALUE(VLOOKUP($A13,'[1]Raw Data - Table B-8'!$A$7:$O$36,7,FALSE)))</f>
        <v>0</v>
      </c>
      <c r="S13" s="11"/>
      <c r="T13" s="11"/>
      <c r="U13" s="11">
        <f>IF(VALUE(VLOOKUP($A13,'[1]Raw Data - Table B-8'!$A$7:$O$36,8,FALSE))=(C13+F13-I13),(C13+F13-I13),"ERROR")</f>
        <v>0</v>
      </c>
      <c r="V13" s="13"/>
    </row>
    <row r="14" spans="1:22" ht="11.25" customHeight="1" x14ac:dyDescent="0.2">
      <c r="A14" s="1" t="s">
        <v>14</v>
      </c>
      <c r="B14" s="5"/>
      <c r="C14" s="14">
        <f>IF(VLOOKUP($A14,'[1]Raw Data - Table B-8'!$A$7:$O$36,2,FALSE)=0,0,VLOOKUP($A14,'[1]Raw Data - Table B-8'!$A$7:$O$36,2,FALSE))</f>
        <v>48</v>
      </c>
      <c r="D14" s="8"/>
      <c r="E14" s="8"/>
      <c r="F14" s="8">
        <f>IF(VLOOKUP($A14,'[1]Raw Data - Table B-8'!$A$7:$O$36,3,FALSE)=0,0,VLOOKUP($A14,'[1]Raw Data - Table B-8'!$A$7:$O$36,3,FALSE))</f>
        <v>44</v>
      </c>
      <c r="G14" s="11"/>
      <c r="H14" s="11"/>
      <c r="I14" s="8">
        <f>IF(VALUE(VLOOKUP($A14,'[1]Raw Data - Table B-8'!$A$7:$O$36,4,FALSE))=SUM(L14,O14),SUM(L14,O14),"ERROR")</f>
        <v>32</v>
      </c>
      <c r="J14" s="8"/>
      <c r="K14" s="8"/>
      <c r="L14" s="8">
        <f>IF(VLOOKUP($A14,'[1]Raw Data - Table B-8'!$A$7:$O$36,5,FALSE)=0,0,VLOOKUP($A14,'[1]Raw Data - Table B-8'!$A$7:$O$36,5,FALSE))</f>
        <v>24</v>
      </c>
      <c r="M14" s="8"/>
      <c r="N14" s="8"/>
      <c r="O14" s="8">
        <f>IF(VLOOKUP($A14,'[1]Raw Data - Table B-8'!$A$7:$O$36,6,FALSE)=0,0,VLOOKUP($A14,'[1]Raw Data - Table B-8'!$A$7:$O$36,6,FALSE))</f>
        <v>8</v>
      </c>
      <c r="P14" s="11"/>
      <c r="Q14" s="11"/>
      <c r="R14" s="8">
        <f>IF(VALUE(VLOOKUP($A14,'[1]Raw Data - Table B-8'!$A$7:$O$36,7,FALSE))=0,0,VALUE(VLOOKUP($A14,'[1]Raw Data - Table B-8'!$A$7:$O$36,7,FALSE)))</f>
        <v>33</v>
      </c>
      <c r="S14" s="8"/>
      <c r="T14" s="8"/>
      <c r="U14" s="11">
        <f>IF(VALUE(VLOOKUP($A14,'[1]Raw Data - Table B-8'!$A$7:$O$36,8,FALSE))=(C14+F14-I14),(C14+F14-I14),"ERROR")</f>
        <v>60</v>
      </c>
      <c r="V14" s="5"/>
    </row>
    <row r="15" spans="1:22" ht="11.25" customHeight="1" x14ac:dyDescent="0.2">
      <c r="A15" s="1" t="s">
        <v>15</v>
      </c>
      <c r="B15" s="5"/>
      <c r="C15" s="14">
        <f>IF(VLOOKUP($A15,'[1]Raw Data - Table B-8'!$A$7:$O$36,2,FALSE)=0,0,VLOOKUP($A15,'[1]Raw Data - Table B-8'!$A$7:$O$36,2,FALSE))</f>
        <v>121</v>
      </c>
      <c r="D15" s="8"/>
      <c r="E15" s="8"/>
      <c r="F15" s="8">
        <f>IF(VLOOKUP($A15,'[1]Raw Data - Table B-8'!$A$7:$O$36,3,FALSE)=0,0,VLOOKUP($A15,'[1]Raw Data - Table B-8'!$A$7:$O$36,3,FALSE))</f>
        <v>160</v>
      </c>
      <c r="G15" s="11"/>
      <c r="H15" s="11"/>
      <c r="I15" s="8">
        <f>IF(VALUE(VLOOKUP($A15,'[1]Raw Data - Table B-8'!$A$7:$O$36,4,FALSE))=SUM(L15,O15),SUM(L15,O15),"ERROR")</f>
        <v>127</v>
      </c>
      <c r="J15" s="8"/>
      <c r="K15" s="8"/>
      <c r="L15" s="8">
        <f>IF(VLOOKUP($A15,'[1]Raw Data - Table B-8'!$A$7:$O$36,5,FALSE)=0,0,VLOOKUP($A15,'[1]Raw Data - Table B-8'!$A$7:$O$36,5,FALSE))</f>
        <v>92</v>
      </c>
      <c r="M15" s="8"/>
      <c r="N15" s="8"/>
      <c r="O15" s="8">
        <f>IF(VLOOKUP($A15,'[1]Raw Data - Table B-8'!$A$7:$O$36,6,FALSE)=0,0,VLOOKUP($A15,'[1]Raw Data - Table B-8'!$A$7:$O$36,6,FALSE))</f>
        <v>35</v>
      </c>
      <c r="P15" s="11"/>
      <c r="Q15" s="11"/>
      <c r="R15" s="8">
        <f>IF(VALUE(VLOOKUP($A15,'[1]Raw Data - Table B-8'!$A$7:$O$36,7,FALSE))=0,0,VALUE(VLOOKUP($A15,'[1]Raw Data - Table B-8'!$A$7:$O$36,7,FALSE)))</f>
        <v>14</v>
      </c>
      <c r="S15" s="8"/>
      <c r="T15" s="8"/>
      <c r="U15" s="11">
        <f>IF(VALUE(VLOOKUP($A15,'[1]Raw Data - Table B-8'!$A$7:$O$36,8,FALSE))=(C15+F15-I15),(C15+F15-I15),"ERROR")</f>
        <v>154</v>
      </c>
      <c r="V15" s="5"/>
    </row>
    <row r="16" spans="1:22" ht="11.25" customHeight="1" x14ac:dyDescent="0.2">
      <c r="A16" s="1" t="s">
        <v>16</v>
      </c>
      <c r="B16" s="5"/>
      <c r="C16" s="14">
        <f>IF(VLOOKUP($A16,'[1]Raw Data - Table B-8'!$A$7:$O$36,2,FALSE)=0,0,VLOOKUP($A16,'[1]Raw Data - Table B-8'!$A$7:$O$36,2,FALSE))</f>
        <v>129</v>
      </c>
      <c r="D16" s="8"/>
      <c r="E16" s="8"/>
      <c r="F16" s="8">
        <f>IF(VLOOKUP($A16,'[1]Raw Data - Table B-8'!$A$7:$O$36,3,FALSE)=0,0,VLOOKUP($A16,'[1]Raw Data - Table B-8'!$A$7:$O$36,3,FALSE))</f>
        <v>162</v>
      </c>
      <c r="G16" s="11"/>
      <c r="H16" s="11"/>
      <c r="I16" s="8">
        <f>IF(VALUE(VLOOKUP($A16,'[1]Raw Data - Table B-8'!$A$7:$O$36,4,FALSE))=SUM(L16,O16),SUM(L16,O16),"ERROR")</f>
        <v>126</v>
      </c>
      <c r="J16" s="8"/>
      <c r="K16" s="8"/>
      <c r="L16" s="8">
        <f>IF(VLOOKUP($A16,'[1]Raw Data - Table B-8'!$A$7:$O$36,5,FALSE)=0,0,VLOOKUP($A16,'[1]Raw Data - Table B-8'!$A$7:$O$36,5,FALSE))</f>
        <v>93</v>
      </c>
      <c r="M16" s="8"/>
      <c r="N16" s="8"/>
      <c r="O16" s="8">
        <f>IF(VLOOKUP($A16,'[1]Raw Data - Table B-8'!$A$7:$O$36,6,FALSE)=0,0,VLOOKUP($A16,'[1]Raw Data - Table B-8'!$A$7:$O$36,6,FALSE))</f>
        <v>33</v>
      </c>
      <c r="P16" s="11"/>
      <c r="Q16" s="11"/>
      <c r="R16" s="8">
        <f>IF(VALUE(VLOOKUP($A16,'[1]Raw Data - Table B-8'!$A$7:$O$36,7,FALSE))=0,0,VALUE(VLOOKUP($A16,'[1]Raw Data - Table B-8'!$A$7:$O$36,7,FALSE)))</f>
        <v>6</v>
      </c>
      <c r="S16" s="8"/>
      <c r="T16" s="8"/>
      <c r="U16" s="11">
        <f>IF(VALUE(VLOOKUP($A16,'[1]Raw Data - Table B-8'!$A$7:$O$36,8,FALSE))=(C16+F16-I16),(C16+F16-I16),"ERROR")</f>
        <v>165</v>
      </c>
      <c r="V16" s="5"/>
    </row>
    <row r="17" spans="1:22" ht="11.25" customHeight="1" x14ac:dyDescent="0.2">
      <c r="A17" s="1" t="s">
        <v>17</v>
      </c>
      <c r="B17" s="5"/>
      <c r="C17" s="14">
        <f>IF(VLOOKUP($A17,'[1]Raw Data - Table B-8'!$A$7:$O$36,2,FALSE)=0,0,VLOOKUP($A17,'[1]Raw Data - Table B-8'!$A$7:$O$36,2,FALSE))</f>
        <v>349</v>
      </c>
      <c r="D17" s="8"/>
      <c r="E17" s="8"/>
      <c r="F17" s="8">
        <f>IF(VLOOKUP($A17,'[1]Raw Data - Table B-8'!$A$7:$O$36,3,FALSE)=0,0,VLOOKUP($A17,'[1]Raw Data - Table B-8'!$A$7:$O$36,3,FALSE))</f>
        <v>330</v>
      </c>
      <c r="G17" s="11"/>
      <c r="H17" s="11"/>
      <c r="I17" s="8">
        <f>IF(VALUE(VLOOKUP($A17,'[1]Raw Data - Table B-8'!$A$7:$O$36,4,FALSE))=SUM(L17,O17),SUM(L17,O17),"ERROR")</f>
        <v>298</v>
      </c>
      <c r="J17" s="8"/>
      <c r="K17" s="8"/>
      <c r="L17" s="8">
        <f>IF(VLOOKUP($A17,'[1]Raw Data - Table B-8'!$A$7:$O$36,5,FALSE)=0,0,VLOOKUP($A17,'[1]Raw Data - Table B-8'!$A$7:$O$36,5,FALSE))</f>
        <v>219</v>
      </c>
      <c r="M17" s="8"/>
      <c r="N17" s="8"/>
      <c r="O17" s="8">
        <f>IF(VLOOKUP($A17,'[1]Raw Data - Table B-8'!$A$7:$O$36,6,FALSE)=0,0,VLOOKUP($A17,'[1]Raw Data - Table B-8'!$A$7:$O$36,6,FALSE))</f>
        <v>79</v>
      </c>
      <c r="P17" s="11"/>
      <c r="Q17" s="11"/>
      <c r="R17" s="8">
        <f>IF(VALUE(VLOOKUP($A17,'[1]Raw Data - Table B-8'!$A$7:$O$36,7,FALSE))=0,0,VALUE(VLOOKUP($A17,'[1]Raw Data - Table B-8'!$A$7:$O$36,7,FALSE)))</f>
        <v>8</v>
      </c>
      <c r="S17" s="8"/>
      <c r="T17" s="8"/>
      <c r="U17" s="11">
        <f>IF(VALUE(VLOOKUP($A17,'[1]Raw Data - Table B-8'!$A$7:$O$36,8,FALSE))=(C17+F17-I17),(C17+F17-I17),"ERROR")</f>
        <v>381</v>
      </c>
      <c r="V17" s="5"/>
    </row>
    <row r="18" spans="1:22" ht="11.25" customHeight="1" x14ac:dyDescent="0.2">
      <c r="A18" s="1" t="s">
        <v>18</v>
      </c>
      <c r="B18" s="5"/>
      <c r="C18" s="8">
        <f>IF(VLOOKUP(LEFT($A18,21),'[1]Raw Data - Table B-8'!$A$7:$O$36,2,FALSE)=0,0,VLOOKUP(LEFT($A18,21),'[1]Raw Data - Table B-8'!$A$7:$O$36,2,FALSE))</f>
        <v>0</v>
      </c>
      <c r="D18" s="8"/>
      <c r="E18" s="8"/>
      <c r="F18" s="8">
        <f>IF(VLOOKUP(LEFT($A18,21),'[1]Raw Data - Table B-8'!$A$7:$O$36,3,FALSE)=0,0,VLOOKUP(LEFT($A18,21),'[1]Raw Data - Table B-8'!$A$7:$O$36,3,FALSE))</f>
        <v>1</v>
      </c>
      <c r="G18" s="11"/>
      <c r="H18" s="11"/>
      <c r="I18" s="8">
        <f>IF(VALUE(VLOOKUP(LEFT($A18,21),'[1]Raw Data - Table B-8'!$A$7:$O$36,4,FALSE))=SUM(L18,O18),SUM(L18,O18),"ERROR")</f>
        <v>0</v>
      </c>
      <c r="J18" s="8"/>
      <c r="K18" s="8"/>
      <c r="L18" s="8">
        <f>IF(VLOOKUP(LEFT($A18,21),'[1]Raw Data - Table B-8'!$A$7:$O$36,5,FALSE)=0,0,VLOOKUP(LEFT($A18,21),'[1]Raw Data - Table B-8'!$A$7:$O$36,5,FALSE))</f>
        <v>0</v>
      </c>
      <c r="M18" s="8"/>
      <c r="N18" s="8"/>
      <c r="O18" s="8">
        <f>IF(VLOOKUP(LEFT($A18,21),'[1]Raw Data - Table B-8'!$A$7:$O$36,6,FALSE)=0,0,VLOOKUP(LEFT($A18,21),'[1]Raw Data - Table B-8'!$A$7:$O$36,6,FALSE))</f>
        <v>0</v>
      </c>
      <c r="P18" s="11"/>
      <c r="Q18" s="11"/>
      <c r="R18" s="8">
        <f>IF(VALUE(VLOOKUP(LEFT($A18,21),'[1]Raw Data - Table B-8'!$A$7:$O$36,7,FALSE))=0,0,VALUE(VLOOKUP(LEFT($A18,21),'[1]Raw Data - Table B-8'!$A$7:$O$36,7,FALSE)))</f>
        <v>0</v>
      </c>
      <c r="S18" s="8"/>
      <c r="T18" s="8"/>
      <c r="U18" s="11">
        <f>IF(VALUE(VLOOKUP(LEFT($A18,21),'[1]Raw Data - Table B-8'!$A$7:$O$36,8,FALSE))=(C18+F18-I18),(C18+F18-I18),"ERROR")</f>
        <v>1</v>
      </c>
      <c r="V18" s="5"/>
    </row>
    <row r="19" spans="1:22" ht="11.25" customHeight="1" x14ac:dyDescent="0.2">
      <c r="A19" s="1" t="s">
        <v>19</v>
      </c>
      <c r="B19" s="5"/>
      <c r="C19" s="14">
        <f>IF(VLOOKUP($A19,'[1]Raw Data - Table B-8'!$A$7:$O$36,2,FALSE)=0,0,VLOOKUP($A19,'[1]Raw Data - Table B-8'!$A$7:$O$36,2,FALSE))</f>
        <v>2</v>
      </c>
      <c r="D19" s="8"/>
      <c r="E19" s="8"/>
      <c r="F19" s="8">
        <f>IF(VLOOKUP($A19,'[1]Raw Data - Table B-8'!$A$7:$O$36,3,FALSE)=0,0,VLOOKUP($A19,'[1]Raw Data - Table B-8'!$A$7:$O$36,3,FALSE))</f>
        <v>5</v>
      </c>
      <c r="G19" s="11"/>
      <c r="H19" s="11"/>
      <c r="I19" s="8">
        <f>IF(VALUE(VLOOKUP($A19,'[1]Raw Data - Table B-8'!$A$7:$O$36,4,FALSE))=SUM(L19,O19),SUM(L19,O19),"ERROR")</f>
        <v>2</v>
      </c>
      <c r="J19" s="8"/>
      <c r="K19" s="8"/>
      <c r="L19" s="8">
        <f>IF(VLOOKUP($A19,'[1]Raw Data - Table B-8'!$A$7:$O$36,5,FALSE)=0,0,VLOOKUP($A19,'[1]Raw Data - Table B-8'!$A$7:$O$36,5,FALSE))</f>
        <v>2</v>
      </c>
      <c r="M19" s="8"/>
      <c r="N19" s="8"/>
      <c r="O19" s="8">
        <f>IF(VLOOKUP($A19,'[1]Raw Data - Table B-8'!$A$7:$O$36,6,FALSE)=0,0,VLOOKUP($A19,'[1]Raw Data - Table B-8'!$A$7:$O$36,6,FALSE))</f>
        <v>0</v>
      </c>
      <c r="P19" s="11"/>
      <c r="Q19" s="11"/>
      <c r="R19" s="8">
        <f>IF(VALUE(VLOOKUP($A19,'[1]Raw Data - Table B-8'!$A$7:$O$36,7,FALSE))=0,0,VALUE(VLOOKUP($A19,'[1]Raw Data - Table B-8'!$A$7:$O$36,7,FALSE)))</f>
        <v>0</v>
      </c>
      <c r="S19" s="8"/>
      <c r="T19" s="8"/>
      <c r="U19" s="11">
        <f>IF(VALUE(VLOOKUP($A19,'[1]Raw Data - Table B-8'!$A$7:$O$36,8,FALSE))=(C19+F19-I19),(C19+F19-I19),"ERROR")</f>
        <v>5</v>
      </c>
      <c r="V19" s="5"/>
    </row>
    <row r="20" spans="1:22" ht="11.25" customHeight="1" x14ac:dyDescent="0.2">
      <c r="A20" s="1" t="s">
        <v>20</v>
      </c>
      <c r="B20" s="5"/>
      <c r="C20" s="14">
        <f>IF(VLOOKUP($A20,'[1]Raw Data - Table B-8'!$A$7:$O$36,2,FALSE)=0,0,VLOOKUP($A20,'[1]Raw Data - Table B-8'!$A$7:$O$36,2,FALSE))</f>
        <v>1</v>
      </c>
      <c r="D20" s="8"/>
      <c r="E20" s="8"/>
      <c r="F20" s="8">
        <f>IF(VLOOKUP($A20,'[1]Raw Data - Table B-8'!$A$7:$O$36,3,FALSE)=0,0,VLOOKUP($A20,'[1]Raw Data - Table B-8'!$A$7:$O$36,3,FALSE))</f>
        <v>0</v>
      </c>
      <c r="G20" s="11"/>
      <c r="H20" s="11"/>
      <c r="I20" s="8">
        <f>IF(VALUE(VLOOKUP($A20,'[1]Raw Data - Table B-8'!$A$7:$O$36,4,FALSE))=SUM(L20,O20),SUM(L20,O20),"ERROR")</f>
        <v>1</v>
      </c>
      <c r="J20" s="8"/>
      <c r="K20" s="8"/>
      <c r="L20" s="8">
        <f>IF(VLOOKUP($A20,'[1]Raw Data - Table B-8'!$A$7:$O$36,5,FALSE)=0,0,VLOOKUP($A20,'[1]Raw Data - Table B-8'!$A$7:$O$36,5,FALSE))</f>
        <v>1</v>
      </c>
      <c r="M20" s="8"/>
      <c r="N20" s="8"/>
      <c r="O20" s="8">
        <f>IF(VLOOKUP($A20,'[1]Raw Data - Table B-8'!$A$7:$O$36,6,FALSE)=0,0,VLOOKUP($A20,'[1]Raw Data - Table B-8'!$A$7:$O$36,6,FALSE))</f>
        <v>0</v>
      </c>
      <c r="P20" s="11"/>
      <c r="Q20" s="11"/>
      <c r="R20" s="8">
        <f>IF(VALUE(VLOOKUP($A20,'[1]Raw Data - Table B-8'!$A$7:$O$36,7,FALSE))=0,0,VALUE(VLOOKUP($A20,'[1]Raw Data - Table B-8'!$A$7:$O$36,7,FALSE)))</f>
        <v>0</v>
      </c>
      <c r="S20" s="8"/>
      <c r="T20" s="8"/>
      <c r="U20" s="11">
        <f>IF(VALUE(VLOOKUP($A20,'[1]Raw Data - Table B-8'!$A$7:$O$36,8,FALSE))=(C20+F20-I20),(C20+F20-I20),"ERROR")</f>
        <v>0</v>
      </c>
      <c r="V20" s="5"/>
    </row>
    <row r="21" spans="1:22" ht="11.25" customHeight="1" x14ac:dyDescent="0.2">
      <c r="A21" s="1" t="s">
        <v>21</v>
      </c>
      <c r="B21" s="5"/>
      <c r="C21" s="14">
        <f>IF(VLOOKUP($A21,'[1]Raw Data - Table B-8'!$A$7:$O$36,2,FALSE)=0,0,VLOOKUP($A21,'[1]Raw Data - Table B-8'!$A$7:$O$36,2,FALSE))</f>
        <v>23</v>
      </c>
      <c r="D21" s="8"/>
      <c r="E21" s="8"/>
      <c r="F21" s="8">
        <f>IF(VLOOKUP($A21,'[1]Raw Data - Table B-8'!$A$7:$O$36,3,FALSE)=0,0,VLOOKUP($A21,'[1]Raw Data - Table B-8'!$A$7:$O$36,3,FALSE))</f>
        <v>13</v>
      </c>
      <c r="G21" s="11"/>
      <c r="H21" s="11"/>
      <c r="I21" s="8">
        <f>IF(VALUE(VLOOKUP($A21,'[1]Raw Data - Table B-8'!$A$7:$O$36,4,FALSE))=SUM(L21,O21),SUM(L21,O21),"ERROR")</f>
        <v>13</v>
      </c>
      <c r="J21" s="8"/>
      <c r="K21" s="8"/>
      <c r="L21" s="8">
        <f>IF(VLOOKUP($A21,'[1]Raw Data - Table B-8'!$A$7:$O$36,5,FALSE)=0,0,VLOOKUP($A21,'[1]Raw Data - Table B-8'!$A$7:$O$36,5,FALSE))</f>
        <v>7</v>
      </c>
      <c r="M21" s="8"/>
      <c r="N21" s="8"/>
      <c r="O21" s="8">
        <f>IF(VLOOKUP($A21,'[1]Raw Data - Table B-8'!$A$7:$O$36,6,FALSE)=0,0,VLOOKUP($A21,'[1]Raw Data - Table B-8'!$A$7:$O$36,6,FALSE))</f>
        <v>6</v>
      </c>
      <c r="P21" s="11"/>
      <c r="Q21" s="11"/>
      <c r="R21" s="8">
        <f>IF(VALUE(VLOOKUP($A21,'[1]Raw Data - Table B-8'!$A$7:$O$36,7,FALSE))=0,0,VALUE(VLOOKUP($A21,'[1]Raw Data - Table B-8'!$A$7:$O$36,7,FALSE)))</f>
        <v>0</v>
      </c>
      <c r="S21" s="8"/>
      <c r="T21" s="8"/>
      <c r="U21" s="11">
        <f>IF(VALUE(VLOOKUP($A21,'[1]Raw Data - Table B-8'!$A$7:$O$36,8,FALSE))=(C21+F21-I21),(C21+F21-I21),"ERROR")</f>
        <v>23</v>
      </c>
      <c r="V21" s="5"/>
    </row>
    <row r="22" spans="1:22" ht="11.25" customHeight="1" x14ac:dyDescent="0.2">
      <c r="A22" s="1" t="s">
        <v>22</v>
      </c>
      <c r="B22" s="5"/>
      <c r="C22" s="14">
        <f>IF(VLOOKUP($A22,'[1]Raw Data - Table B-8'!$A$7:$O$36,2,FALSE)=0,0,VLOOKUP($A22,'[1]Raw Data - Table B-8'!$A$7:$O$36,2,FALSE))</f>
        <v>111</v>
      </c>
      <c r="D22" s="8"/>
      <c r="E22" s="8"/>
      <c r="F22" s="8">
        <f>IF(VLOOKUP($A22,'[1]Raw Data - Table B-8'!$A$7:$O$36,3,FALSE)=0,0,VLOOKUP($A22,'[1]Raw Data - Table B-8'!$A$7:$O$36,3,FALSE))</f>
        <v>211</v>
      </c>
      <c r="G22" s="11"/>
      <c r="H22" s="11"/>
      <c r="I22" s="8">
        <f>IF(VALUE(VLOOKUP($A22,'[1]Raw Data - Table B-8'!$A$7:$O$36,4,FALSE))=SUM(L22,O22),SUM(L22,O22),"ERROR")</f>
        <v>190</v>
      </c>
      <c r="J22" s="8"/>
      <c r="K22" s="8"/>
      <c r="L22" s="8">
        <f>IF(VLOOKUP($A22,'[1]Raw Data - Table B-8'!$A$7:$O$36,5,FALSE)=0,0,VLOOKUP($A22,'[1]Raw Data - Table B-8'!$A$7:$O$36,5,FALSE))</f>
        <v>137</v>
      </c>
      <c r="M22" s="8"/>
      <c r="N22" s="8"/>
      <c r="O22" s="8">
        <f>IF(VLOOKUP($A22,'[1]Raw Data - Table B-8'!$A$7:$O$36,6,FALSE)=0,0,VLOOKUP($A22,'[1]Raw Data - Table B-8'!$A$7:$O$36,6,FALSE))</f>
        <v>53</v>
      </c>
      <c r="P22" s="11"/>
      <c r="Q22" s="11"/>
      <c r="R22" s="8">
        <f>IF(VALUE(VLOOKUP($A22,'[1]Raw Data - Table B-8'!$A$7:$O$36,7,FALSE))=0,0,VALUE(VLOOKUP($A22,'[1]Raw Data - Table B-8'!$A$7:$O$36,7,FALSE)))</f>
        <v>5</v>
      </c>
      <c r="S22" s="8"/>
      <c r="T22" s="8"/>
      <c r="U22" s="11">
        <f>IF(VALUE(VLOOKUP($A22,'[1]Raw Data - Table B-8'!$A$7:$O$36,8,FALSE))=(C22+F22-I22),(C22+F22-I22),"ERROR")</f>
        <v>132</v>
      </c>
      <c r="V22" s="5"/>
    </row>
    <row r="23" spans="1:22" ht="11.25" customHeight="1" x14ac:dyDescent="0.2">
      <c r="A23" s="1" t="s">
        <v>23</v>
      </c>
      <c r="B23" s="5"/>
      <c r="C23" s="14">
        <f>IF(VLOOKUP($A23,'[1]Raw Data - Table B-8'!$A$7:$O$36,2,FALSE)=0,0,VLOOKUP($A23,'[1]Raw Data - Table B-8'!$A$7:$O$36,2,FALSE))</f>
        <v>3</v>
      </c>
      <c r="D23" s="8"/>
      <c r="E23" s="8"/>
      <c r="F23" s="8">
        <f>IF(VLOOKUP($A23,'[1]Raw Data - Table B-8'!$A$7:$O$36,3,FALSE)=0,0,VLOOKUP($A23,'[1]Raw Data - Table B-8'!$A$7:$O$36,3,FALSE))</f>
        <v>0</v>
      </c>
      <c r="G23" s="11"/>
      <c r="H23" s="11"/>
      <c r="I23" s="8">
        <f>IF(VALUE(VLOOKUP($A23,'[1]Raw Data - Table B-8'!$A$7:$O$36,4,FALSE))=SUM(L23,O23),SUM(L23,O23),"ERROR")</f>
        <v>1</v>
      </c>
      <c r="J23" s="8"/>
      <c r="K23" s="8"/>
      <c r="L23" s="8">
        <f>IF(VLOOKUP($A23,'[1]Raw Data - Table B-8'!$A$7:$O$36,5,FALSE)=0,0,VLOOKUP($A23,'[1]Raw Data - Table B-8'!$A$7:$O$36,5,FALSE))</f>
        <v>1</v>
      </c>
      <c r="M23" s="8"/>
      <c r="N23" s="8"/>
      <c r="O23" s="8">
        <f>IF(VLOOKUP($A23,'[1]Raw Data - Table B-8'!$A$7:$O$36,6,FALSE)=0,0,VLOOKUP($A23,'[1]Raw Data - Table B-8'!$A$7:$O$36,6,FALSE))</f>
        <v>0</v>
      </c>
      <c r="P23" s="11"/>
      <c r="Q23" s="11"/>
      <c r="R23" s="8">
        <f>IF(VALUE(VLOOKUP($A23,'[1]Raw Data - Table B-8'!$A$7:$O$36,7,FALSE))=0,0,VALUE(VLOOKUP($A23,'[1]Raw Data - Table B-8'!$A$7:$O$36,7,FALSE)))</f>
        <v>0</v>
      </c>
      <c r="S23" s="8"/>
      <c r="T23" s="8"/>
      <c r="U23" s="11">
        <f>IF(VALUE(VLOOKUP($A23,'[1]Raw Data - Table B-8'!$A$7:$O$36,8,FALSE))=(C23+F23-I23),(C23+F23-I23),"ERROR")</f>
        <v>2</v>
      </c>
      <c r="V23" s="5"/>
    </row>
    <row r="24" spans="1:22" ht="11.25" customHeight="1" x14ac:dyDescent="0.2">
      <c r="A24" s="1" t="s">
        <v>24</v>
      </c>
      <c r="B24" s="5"/>
      <c r="C24" s="14">
        <f>IF(VLOOKUP($A24,'[1]Raw Data - Table B-8'!$A$7:$O$36,2,FALSE)=0,0,VLOOKUP($A24,'[1]Raw Data - Table B-8'!$A$7:$O$36,2,FALSE))</f>
        <v>1</v>
      </c>
      <c r="D24" s="8"/>
      <c r="E24" s="8"/>
      <c r="F24" s="8">
        <f>IF(VLOOKUP($A24,'[1]Raw Data - Table B-8'!$A$7:$O$36,3,FALSE)=0,0,VLOOKUP($A24,'[1]Raw Data - Table B-8'!$A$7:$O$36,3,FALSE))</f>
        <v>0</v>
      </c>
      <c r="G24" s="11"/>
      <c r="H24" s="11"/>
      <c r="I24" s="8">
        <f>IF(VALUE(VLOOKUP($A24,'[1]Raw Data - Table B-8'!$A$7:$O$36,4,FALSE))=SUM(L24,O24),SUM(L24,O24),"ERROR")</f>
        <v>1</v>
      </c>
      <c r="J24" s="8"/>
      <c r="K24" s="8"/>
      <c r="L24" s="8">
        <f>IF(VLOOKUP($A24,'[1]Raw Data - Table B-8'!$A$7:$O$36,5,FALSE)=0,0,VLOOKUP($A24,'[1]Raw Data - Table B-8'!$A$7:$O$36,5,FALSE))</f>
        <v>1</v>
      </c>
      <c r="M24" s="8"/>
      <c r="N24" s="8"/>
      <c r="O24" s="8">
        <f>IF(VLOOKUP($A24,'[1]Raw Data - Table B-8'!$A$7:$O$36,6,FALSE)=0,0,VLOOKUP($A24,'[1]Raw Data - Table B-8'!$A$7:$O$36,6,FALSE))</f>
        <v>0</v>
      </c>
      <c r="P24" s="11"/>
      <c r="Q24" s="11"/>
      <c r="R24" s="8">
        <f>IF(VALUE(VLOOKUP($A24,'[1]Raw Data - Table B-8'!$A$7:$O$36,7,FALSE))=0,0,VALUE(VLOOKUP($A24,'[1]Raw Data - Table B-8'!$A$7:$O$36,7,FALSE)))</f>
        <v>0</v>
      </c>
      <c r="S24" s="8"/>
      <c r="T24" s="8"/>
      <c r="U24" s="11">
        <f>IF(VALUE(VLOOKUP($A24,'[1]Raw Data - Table B-8'!$A$7:$O$36,8,FALSE))=(C24+F24-I24),(C24+F24-I24),"ERROR")</f>
        <v>0</v>
      </c>
      <c r="V24" s="5"/>
    </row>
    <row r="25" spans="1:22" ht="11.25" customHeight="1" x14ac:dyDescent="0.2">
      <c r="A25" s="1" t="s">
        <v>25</v>
      </c>
      <c r="B25" s="5"/>
      <c r="C25" s="8">
        <f>IF(VLOOKUP("Patent &amp; Trademark Office",'[1]Raw Data - Table B-8'!$A$7:$O$36,2,FALSE)=0,0,VLOOKUP("Patent &amp; Trademark Office",'[1]Raw Data - Table B-8'!$A$7:$O$36,2,FALSE))</f>
        <v>624</v>
      </c>
      <c r="D25" s="8"/>
      <c r="E25" s="8"/>
      <c r="F25" s="8">
        <f>IF(VLOOKUP("Patent &amp; Trademark Office",'[1]Raw Data - Table B-8'!$A$7:$O$36,3,FALSE)=0,0,VLOOKUP("Patent &amp; Trademark Office",'[1]Raw Data - Table B-8'!$A$7:$O$36,3,FALSE))</f>
        <v>514</v>
      </c>
      <c r="G25" s="11"/>
      <c r="H25" s="11"/>
      <c r="I25" s="8">
        <f>IF(VALUE(VLOOKUP("Patent &amp; Trademark Office",'[1]Raw Data - Table B-8'!$A$7:$O$36,4,FALSE))=SUM(L25,O25),SUM(L25,O25),"ERROR")</f>
        <v>465</v>
      </c>
      <c r="J25" s="8"/>
      <c r="K25" s="8"/>
      <c r="L25" s="8">
        <f>IF(VLOOKUP("Patent &amp; Trademark Office",'[1]Raw Data - Table B-8'!$A$7:$O$36,5,FALSE)=0,0,VLOOKUP("Patent &amp; Trademark Office",'[1]Raw Data - Table B-8'!$A$7:$O$36,5,FALSE))</f>
        <v>346</v>
      </c>
      <c r="M25" s="8"/>
      <c r="N25" s="8"/>
      <c r="O25" s="8">
        <f>IF(VLOOKUP("Patent &amp; Trademark Office",'[1]Raw Data - Table B-8'!$A$7:$O$36,6,FALSE)=0,0,VLOOKUP("Patent &amp; Trademark Office",'[1]Raw Data - Table B-8'!$A$7:$O$36,6,FALSE))</f>
        <v>119</v>
      </c>
      <c r="P25" s="11"/>
      <c r="Q25" s="11"/>
      <c r="R25" s="8">
        <f>IF(VALUE(VLOOKUP("Patent &amp; Trademark Office",'[1]Raw Data - Table B-8'!$A$7:$O$36,7,FALSE))=0,0,VALUE(VLOOKUP("Patent &amp; Trademark Office",'[1]Raw Data - Table B-8'!$A$7:$O$36,7,FALSE)))</f>
        <v>9</v>
      </c>
      <c r="S25" s="8"/>
      <c r="T25" s="8"/>
      <c r="U25" s="11">
        <f>IF(VALUE(VLOOKUP("Patent &amp; Trademark Office",'[1]Raw Data - Table B-8'!$A$7:$O$36,8,FALSE))=(C25+F25-I25),(C25+F25-I25),"ERROR")</f>
        <v>673</v>
      </c>
      <c r="V25" s="5"/>
    </row>
    <row r="26" spans="1:22" ht="11.25" customHeight="1" x14ac:dyDescent="0.2">
      <c r="A26" s="1" t="s">
        <v>26</v>
      </c>
      <c r="B26" s="5"/>
      <c r="C26" s="8">
        <f>IF(VLOOKUP("Writs*",'[1]Raw Data - Table B-8'!$A$7:$O$36,2,FALSE)=0,0,VLOOKUP("Writs*",'[1]Raw Data - Table B-8'!$A$7:$O$36,2,FALSE))</f>
        <v>11</v>
      </c>
      <c r="D26" s="8"/>
      <c r="E26" s="8"/>
      <c r="F26" s="8">
        <f>IF(VLOOKUP("Writs*",'[1]Raw Data - Table B-8'!$A$7:$O$36,3,FALSE)=0,0,VLOOKUP("Writs*",'[1]Raw Data - Table B-8'!$A$7:$O$36,3,FALSE))</f>
        <v>47</v>
      </c>
      <c r="G26" s="11"/>
      <c r="H26" s="11"/>
      <c r="I26" s="8">
        <f>IF(VALUE(VLOOKUP("Writs*",'[1]Raw Data - Table B-8'!$A$7:$O$36,4,FALSE))=SUM(L26,O26),SUM(L26,O26),"ERROR")</f>
        <v>53</v>
      </c>
      <c r="J26" s="8"/>
      <c r="K26" s="8"/>
      <c r="L26" s="8">
        <f>IF(VLOOKUP("Writs*",'[1]Raw Data - Table B-8'!$A$7:$O$36,5,FALSE)=0,0,VLOOKUP("Writs*",'[1]Raw Data - Table B-8'!$A$7:$O$36,5,FALSE))</f>
        <v>45</v>
      </c>
      <c r="M26" s="8"/>
      <c r="N26" s="8"/>
      <c r="O26" s="8">
        <f>IF(VLOOKUP("Writs*",'[1]Raw Data - Table B-8'!$A$7:$O$36,6,FALSE)=0,0,VLOOKUP("Writs*",'[1]Raw Data - Table B-8'!$A$7:$O$36,6,FALSE))</f>
        <v>8</v>
      </c>
      <c r="P26" s="11"/>
      <c r="Q26" s="11"/>
      <c r="R26" s="8">
        <f>IF(VALUE(VLOOKUP("Writs*",'[1]Raw Data - Table B-8'!$A$7:$O$36,7,FALSE))=0,0,VALUE(VLOOKUP("Writs*",'[1]Raw Data - Table B-8'!$A$7:$O$36,7,FALSE)))</f>
        <v>0</v>
      </c>
      <c r="S26" s="8"/>
      <c r="T26" s="8"/>
      <c r="U26" s="11">
        <f>IF(VALUE(VLOOKUP("Writs*",'[1]Raw Data - Table B-8'!$A$7:$O$36,8,FALSE))=(C26+F26-I26),(C26+F26-I26),"ERROR")</f>
        <v>5</v>
      </c>
      <c r="V26" s="5"/>
    </row>
    <row r="27" spans="1:22" ht="6" customHeight="1" x14ac:dyDescent="0.2">
      <c r="A27" s="24"/>
      <c r="B27" s="24"/>
      <c r="C27" s="24"/>
      <c r="D27" s="24"/>
      <c r="E27" s="24"/>
      <c r="F27" s="15"/>
      <c r="G27" s="25"/>
      <c r="H27" s="25"/>
      <c r="I27" s="15"/>
      <c r="J27" s="15"/>
      <c r="K27" s="15"/>
      <c r="L27" s="15"/>
      <c r="M27" s="15"/>
      <c r="N27" s="25"/>
      <c r="O27" s="25"/>
      <c r="P27" s="15"/>
      <c r="Q27" s="15"/>
      <c r="R27" s="25"/>
      <c r="S27" s="25"/>
      <c r="T27" s="15"/>
      <c r="U27" s="15"/>
      <c r="V27" s="16"/>
    </row>
    <row r="28" spans="1:22" x14ac:dyDescent="0.2">
      <c r="A28" s="17" t="s">
        <v>27</v>
      </c>
      <c r="B28" s="17"/>
      <c r="C28" s="17"/>
      <c r="D28" s="17"/>
      <c r="E28" s="17"/>
      <c r="G28" s="18"/>
      <c r="H28" s="18"/>
      <c r="N28" s="18"/>
      <c r="O28" s="18"/>
      <c r="R28" s="18"/>
      <c r="S28" s="18"/>
      <c r="V28" s="18"/>
    </row>
    <row r="29" spans="1:22" ht="24" customHeight="1" x14ac:dyDescent="0.2">
      <c r="A29" s="19" t="s">
        <v>28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2" ht="12.75" customHeight="1" x14ac:dyDescent="0.2">
      <c r="A30" s="19" t="s">
        <v>29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2" ht="11.25" customHeight="1" x14ac:dyDescent="0.2"/>
    <row r="32" spans="1:22" ht="13.5" customHeight="1" x14ac:dyDescent="0.2"/>
  </sheetData>
  <mergeCells count="18">
    <mergeCell ref="A2:V2"/>
    <mergeCell ref="A3:V3"/>
    <mergeCell ref="A4:V4"/>
    <mergeCell ref="A6:A7"/>
    <mergeCell ref="B6:D7"/>
    <mergeCell ref="E6:G7"/>
    <mergeCell ref="H6:S6"/>
    <mergeCell ref="T6:V7"/>
    <mergeCell ref="H7:J7"/>
    <mergeCell ref="K7:M7"/>
    <mergeCell ref="A29:V29"/>
    <mergeCell ref="A30:V30"/>
    <mergeCell ref="N7:P7"/>
    <mergeCell ref="Q7:S7"/>
    <mergeCell ref="A27:E27"/>
    <mergeCell ref="G27:H27"/>
    <mergeCell ref="N27:O27"/>
    <mergeCell ref="R27:S27"/>
  </mergeCells>
  <conditionalFormatting sqref="C10:U26">
    <cfRule type="cellIs" dxfId="0" priority="1" operator="equal">
      <formula>"ERROR"</formula>
    </cfRule>
  </conditionalFormatting>
  <printOptions horizontalCentered="1"/>
  <pageMargins left="0.2" right="0.2" top="0.5" bottom="0.25" header="0.3" footer="0.5"/>
  <pageSetup orientation="landscape" r:id="rId1"/>
  <headerFooter alignWithMargins="0">
    <oddFooter>&amp;R&amp;"Arial,Regular"&amp;8Page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Formatted Report</vt:lpstr>
      <vt:lpstr>'Formatted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Dugan</dc:creator>
  <cp:lastModifiedBy>Lindsay Dugan</cp:lastModifiedBy>
  <dcterms:created xsi:type="dcterms:W3CDTF">2024-01-22T17:50:27Z</dcterms:created>
  <dcterms:modified xsi:type="dcterms:W3CDTF">2024-01-22T17:53:21Z</dcterms:modified>
</cp:coreProperties>
</file>